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120" windowWidth="20115" windowHeight="12840" activeTab="1"/>
  </bookViews>
  <sheets>
    <sheet name="Feuille" sheetId="9" r:id="rId1"/>
    <sheet name="Inventaire" sheetId="7" r:id="rId2"/>
    <sheet name="Base" sheetId="10" r:id="rId3"/>
    <sheet name="Armes" sheetId="1" r:id="rId4"/>
    <sheet name="Armures" sheetId="2" r:id="rId5"/>
    <sheet name="Substances Chimiques" sheetId="8" r:id="rId6"/>
    <sheet name="Explosifs" sheetId="3" r:id="rId7"/>
    <sheet name="Divers" sheetId="4" r:id="rId8"/>
  </sheets>
  <definedNames>
    <definedName name="AG" localSheetId="0">Feuille!$D$36</definedName>
    <definedName name="AG">#REF!</definedName>
    <definedName name="Armes">Armes!$A$2:$L$126</definedName>
    <definedName name="Armures">Armures!$A$2:$N$27</definedName>
    <definedName name="CA" localSheetId="0">Feuille!$Q$43</definedName>
    <definedName name="CA">#REF!</definedName>
    <definedName name="CH" localSheetId="0">Feuille!#REF!</definedName>
    <definedName name="CH">#REF!</definedName>
    <definedName name="CHA" localSheetId="0">Feuille!$D$30</definedName>
    <definedName name="CHa">#REF!</definedName>
    <definedName name="CHARGE" localSheetId="0">Feuille!$Q$40</definedName>
    <definedName name="CHaRGE">#REF!</definedName>
    <definedName name="Contenant">Divers!$A$78:$E$82</definedName>
    <definedName name="CRIT" localSheetId="0">Feuille!$Q$70</definedName>
    <definedName name="CRIT">#REF!</definedName>
    <definedName name="Divers">Divers!$A$2:$E$77</definedName>
    <definedName name="DM" localSheetId="0">Feuille!$Q$46</definedName>
    <definedName name="DM">#REF!</definedName>
    <definedName name="EN" localSheetId="0">Feuille!$D$27</definedName>
    <definedName name="EN">#REF!</definedName>
    <definedName name="Explosifs">Explosifs!$A$2:$I$21</definedName>
    <definedName name="FM" localSheetId="0">Feuille!$Q$49</definedName>
    <definedName name="FM">#REF!</definedName>
    <definedName name="FO" localSheetId="0">Feuille!$D$21</definedName>
    <definedName name="FO">#REF!</definedName>
    <definedName name="HP" localSheetId="0">Feuille!$Q$52</definedName>
    <definedName name="HP">#REF!</definedName>
    <definedName name="HPNIV" localSheetId="0">Feuille!$Q$76</definedName>
    <definedName name="HPNIV">#REF!</definedName>
    <definedName name="Image">Inventaire!$N$2:$U$18</definedName>
    <definedName name="INIT" localSheetId="0">Feuille!$Q$73</definedName>
    <definedName name="INIT">#REF!</definedName>
    <definedName name="INT" localSheetId="0">Feuille!$D$33</definedName>
    <definedName name="INT">#REF!</definedName>
    <definedName name="NIVEAU" localSheetId="0">Feuille!#REF!</definedName>
    <definedName name="NIVEAU">#REF!</definedName>
    <definedName name="PA" localSheetId="0">Feuille!$Q$55</definedName>
    <definedName name="PA">#REF!</definedName>
    <definedName name="PE" localSheetId="0">Feuille!$D$24</definedName>
    <definedName name="PE">#REF!</definedName>
    <definedName name="PORTE">Feuille!$Q$58</definedName>
    <definedName name="PORTEE">#REF!</definedName>
    <definedName name="RESDEG" localSheetId="0">Feuille!$Q$61</definedName>
    <definedName name="RESDEG">#REF!</definedName>
    <definedName name="RESPOI">#REF!</definedName>
    <definedName name="RESRAD">#REF!</definedName>
    <definedName name="Substances_Chimiques">'Substances Chimiques'!$A$2:$J$22</definedName>
    <definedName name="VITGUE">#REF!</definedName>
    <definedName name="_xlnm.Print_Area" localSheetId="0">Feuille!$A$1:$AP$184</definedName>
  </definedNames>
  <calcPr calcId="144525"/>
</workbook>
</file>

<file path=xl/calcChain.xml><?xml version="1.0" encoding="utf-8"?>
<calcChain xmlns="http://schemas.openxmlformats.org/spreadsheetml/2006/main">
  <c r="U7" i="7" l="1"/>
  <c r="Z22" i="7"/>
  <c r="Z23" i="7"/>
  <c r="Z24" i="7"/>
  <c r="Z25" i="7"/>
  <c r="Z26" i="7"/>
  <c r="Z27" i="7"/>
  <c r="Z28" i="7"/>
  <c r="Z29" i="7"/>
  <c r="Z30" i="7"/>
  <c r="Z31" i="7"/>
  <c r="Z32" i="7"/>
  <c r="Z33" i="7"/>
  <c r="Z34" i="7"/>
  <c r="Y22" i="7"/>
  <c r="Y23" i="7"/>
  <c r="Y24" i="7"/>
  <c r="Y25" i="7"/>
  <c r="Y26" i="7"/>
  <c r="Y27" i="7"/>
  <c r="Y28" i="7"/>
  <c r="Y29" i="7"/>
  <c r="Y30" i="7"/>
  <c r="Y31" i="7"/>
  <c r="Y32" i="7"/>
  <c r="Y33" i="7"/>
  <c r="Y34" i="7"/>
  <c r="Y21" i="7"/>
  <c r="Z21" i="7"/>
  <c r="V22" i="7"/>
  <c r="V23" i="7"/>
  <c r="V24" i="7"/>
  <c r="V25" i="7"/>
  <c r="V26" i="7"/>
  <c r="V27" i="7"/>
  <c r="V28" i="7"/>
  <c r="V29" i="7"/>
  <c r="V30" i="7"/>
  <c r="V31" i="7"/>
  <c r="V32" i="7"/>
  <c r="V33" i="7"/>
  <c r="V34" i="7"/>
  <c r="U22" i="7"/>
  <c r="U23" i="7"/>
  <c r="U24" i="7"/>
  <c r="U25" i="7"/>
  <c r="U26" i="7"/>
  <c r="U27" i="7"/>
  <c r="U28" i="7"/>
  <c r="U29" i="7"/>
  <c r="U30" i="7"/>
  <c r="U31" i="7"/>
  <c r="U32" i="7"/>
  <c r="U33" i="7"/>
  <c r="U34" i="7"/>
  <c r="U21" i="7"/>
  <c r="V21" i="7"/>
  <c r="R22" i="7"/>
  <c r="R23" i="7"/>
  <c r="R24" i="7"/>
  <c r="R25" i="7"/>
  <c r="R26" i="7"/>
  <c r="R27" i="7"/>
  <c r="R28" i="7"/>
  <c r="R29" i="7"/>
  <c r="R30" i="7"/>
  <c r="R31" i="7"/>
  <c r="R32" i="7"/>
  <c r="R33" i="7"/>
  <c r="R34" i="7"/>
  <c r="Q22" i="7"/>
  <c r="Q23" i="7"/>
  <c r="Q24" i="7"/>
  <c r="Q25" i="7"/>
  <c r="Q26" i="7"/>
  <c r="Q27" i="7"/>
  <c r="Q28" i="7"/>
  <c r="Q29" i="7"/>
  <c r="Q30" i="7"/>
  <c r="Q31" i="7"/>
  <c r="Q32" i="7"/>
  <c r="Q33" i="7"/>
  <c r="Q34" i="7"/>
  <c r="Q21" i="7"/>
  <c r="R21" i="7"/>
  <c r="K22" i="7"/>
  <c r="K23" i="7"/>
  <c r="K24" i="7"/>
  <c r="K25" i="7"/>
  <c r="K26" i="7"/>
  <c r="K27" i="7"/>
  <c r="K28" i="7"/>
  <c r="K29" i="7"/>
  <c r="K30" i="7"/>
  <c r="K31" i="7"/>
  <c r="K32" i="7"/>
  <c r="K33" i="7"/>
  <c r="K34" i="7"/>
  <c r="L22" i="7"/>
  <c r="L23" i="7"/>
  <c r="L24" i="7"/>
  <c r="L25" i="7"/>
  <c r="L26" i="7"/>
  <c r="L27" i="7"/>
  <c r="L28" i="7"/>
  <c r="L29" i="7"/>
  <c r="L30" i="7"/>
  <c r="L31" i="7"/>
  <c r="L32" i="7"/>
  <c r="L33" i="7"/>
  <c r="L34" i="7"/>
  <c r="K21" i="7"/>
  <c r="L21" i="7"/>
  <c r="H22" i="7"/>
  <c r="H23" i="7"/>
  <c r="H24" i="7"/>
  <c r="H25" i="7"/>
  <c r="H26" i="7"/>
  <c r="H27" i="7"/>
  <c r="H28" i="7"/>
  <c r="H29" i="7"/>
  <c r="H30" i="7"/>
  <c r="H31" i="7"/>
  <c r="H32" i="7"/>
  <c r="H33" i="7"/>
  <c r="H34" i="7"/>
  <c r="G22" i="7"/>
  <c r="G23" i="7"/>
  <c r="G24" i="7"/>
  <c r="G25" i="7"/>
  <c r="G26" i="7"/>
  <c r="G27" i="7"/>
  <c r="G28" i="7"/>
  <c r="G29" i="7"/>
  <c r="G30" i="7"/>
  <c r="G31" i="7"/>
  <c r="G32" i="7"/>
  <c r="G33" i="7"/>
  <c r="G34" i="7"/>
  <c r="G21" i="7"/>
  <c r="H21" i="7"/>
  <c r="W14" i="7" l="1"/>
  <c r="W15" i="7"/>
  <c r="V14" i="7"/>
  <c r="V15" i="7"/>
  <c r="W13" i="7"/>
  <c r="V13" i="7"/>
  <c r="U11" i="7"/>
  <c r="U10" i="7"/>
  <c r="U6" i="7"/>
  <c r="U9" i="7"/>
  <c r="U5" i="7"/>
  <c r="U4" i="7"/>
  <c r="U3" i="7"/>
  <c r="C15" i="7"/>
  <c r="C13" i="7"/>
  <c r="B13" i="7"/>
  <c r="C11" i="7"/>
  <c r="B11" i="7"/>
  <c r="C9" i="7"/>
  <c r="B9" i="7"/>
  <c r="K5" i="7"/>
  <c r="K7" i="7"/>
  <c r="K15" i="7"/>
  <c r="J5" i="7"/>
  <c r="J7" i="7"/>
  <c r="J15" i="7"/>
  <c r="I5" i="7"/>
  <c r="I7" i="7"/>
  <c r="I15" i="7"/>
  <c r="H5" i="7"/>
  <c r="H7" i="7"/>
  <c r="H15" i="7"/>
  <c r="G5" i="7"/>
  <c r="G7" i="7"/>
  <c r="G15" i="7"/>
  <c r="F5" i="7"/>
  <c r="F7" i="7"/>
  <c r="F15" i="7"/>
  <c r="E5" i="7"/>
  <c r="E7" i="7"/>
  <c r="E15" i="7"/>
  <c r="D5" i="7"/>
  <c r="D7" i="7"/>
  <c r="D15" i="7"/>
  <c r="C5" i="7"/>
  <c r="C7" i="7"/>
  <c r="C17" i="7"/>
  <c r="K3" i="7"/>
  <c r="J3" i="7"/>
  <c r="I3" i="7"/>
  <c r="H3" i="7"/>
  <c r="G3" i="7"/>
  <c r="F3" i="7"/>
  <c r="E3" i="7"/>
  <c r="D3" i="7"/>
  <c r="C3" i="7"/>
  <c r="V16" i="7" l="1"/>
  <c r="W16" i="7"/>
  <c r="E35" i="7"/>
  <c r="B17" i="7"/>
  <c r="B15" i="7"/>
  <c r="B5" i="7"/>
  <c r="B7" i="7"/>
  <c r="B3" i="7" l="1"/>
  <c r="AD35" i="9"/>
  <c r="G112" i="9" s="1"/>
  <c r="G100" i="9" s="1"/>
  <c r="V38" i="9" s="1"/>
  <c r="G103" i="9" s="1"/>
  <c r="G22" i="9"/>
  <c r="J35" i="9"/>
  <c r="P148" i="9" s="1"/>
  <c r="C36" i="7" s="1"/>
  <c r="N35" i="9"/>
  <c r="S35" i="9"/>
  <c r="Y35" i="9"/>
  <c r="AI35" i="9"/>
  <c r="AM35" i="9"/>
  <c r="AA76" i="9"/>
  <c r="AN76" i="9" s="1"/>
  <c r="V97" i="9"/>
  <c r="AD99" i="9"/>
  <c r="AN99" i="9"/>
  <c r="AD102" i="9"/>
  <c r="AN102" i="9"/>
  <c r="AD105" i="9"/>
  <c r="AN105" i="9"/>
  <c r="AD108" i="9"/>
  <c r="AN108" i="9"/>
  <c r="AD111" i="9"/>
  <c r="AN111" i="9"/>
  <c r="AD114" i="9"/>
  <c r="AN114" i="9"/>
  <c r="AD117" i="9"/>
  <c r="AN117" i="9"/>
  <c r="AD120" i="9"/>
  <c r="AN120" i="9"/>
  <c r="AD123" i="9"/>
  <c r="AN123" i="9"/>
  <c r="AD126" i="9"/>
  <c r="AN126" i="9"/>
  <c r="AD129" i="9"/>
  <c r="AN129" i="9"/>
  <c r="AD132" i="9"/>
  <c r="AN132" i="9"/>
  <c r="AD135" i="9"/>
  <c r="AN135" i="9"/>
  <c r="AD138" i="9"/>
  <c r="AN138" i="9"/>
  <c r="AD141" i="9"/>
  <c r="AN141" i="9"/>
  <c r="P142" i="9"/>
  <c r="R142" i="9"/>
  <c r="AD144" i="9"/>
  <c r="AN144" i="9"/>
  <c r="AD147" i="9"/>
  <c r="AN147" i="9"/>
  <c r="AD150" i="9"/>
  <c r="AN150" i="9"/>
  <c r="P151" i="9"/>
  <c r="D36" i="7" s="1"/>
  <c r="AD153" i="9"/>
  <c r="AN153" i="9"/>
  <c r="AD156" i="9"/>
  <c r="AN156" i="9"/>
  <c r="AD159" i="9"/>
  <c r="AN159" i="9"/>
  <c r="AD162" i="9"/>
  <c r="AN162" i="9"/>
  <c r="AD165" i="9"/>
  <c r="AN165" i="9"/>
  <c r="AD168" i="9"/>
  <c r="AN168" i="9"/>
  <c r="AD171" i="9"/>
  <c r="AN171" i="9"/>
  <c r="AD174" i="9"/>
  <c r="AN174" i="9"/>
  <c r="H52" i="9" l="1"/>
  <c r="Q52" i="9" s="1"/>
  <c r="AA73" i="9"/>
  <c r="AN73" i="9" s="1"/>
  <c r="Q35" i="7"/>
  <c r="U35" i="7"/>
  <c r="Y35" i="7"/>
  <c r="R36" i="7"/>
  <c r="V36" i="7"/>
  <c r="Z36" i="7"/>
  <c r="K35" i="7"/>
  <c r="L36" i="7"/>
  <c r="H36" i="7"/>
  <c r="G35" i="7"/>
  <c r="AA82" i="9"/>
  <c r="AN82" i="9" s="1"/>
  <c r="AA58" i="9"/>
  <c r="AN58" i="9" s="1"/>
  <c r="AA70" i="9"/>
  <c r="AN70" i="9" s="1"/>
  <c r="AA64" i="9"/>
  <c r="AN64" i="9" s="1"/>
  <c r="AA61" i="9"/>
  <c r="AN61" i="9" s="1"/>
  <c r="AA40" i="9"/>
  <c r="AN40" i="9" s="1"/>
  <c r="AA46" i="9"/>
  <c r="AN46" i="9" s="1"/>
  <c r="G109" i="9"/>
  <c r="H67" i="9" s="1"/>
  <c r="H61" i="9"/>
  <c r="Q61" i="9" s="1"/>
  <c r="AA85" i="9"/>
  <c r="AN85" i="9" s="1"/>
  <c r="H64" i="9"/>
  <c r="Q64" i="9" s="1"/>
  <c r="AA49" i="9"/>
  <c r="AN49" i="9" s="1"/>
  <c r="AA55" i="9"/>
  <c r="AN55" i="9" s="1"/>
  <c r="AA52" i="9"/>
  <c r="AN52" i="9" s="1"/>
  <c r="P154" i="9"/>
  <c r="AA43" i="9"/>
  <c r="AN43" i="9" s="1"/>
  <c r="AA88" i="9"/>
  <c r="AN88" i="9" s="1"/>
  <c r="AA67" i="9"/>
  <c r="AN67" i="9" s="1"/>
  <c r="H58" i="9"/>
  <c r="Q58" i="9" s="1"/>
  <c r="H55" i="9"/>
  <c r="Q55" i="9" s="1"/>
  <c r="I139" i="9" s="1"/>
  <c r="H49" i="9"/>
  <c r="Q49" i="9" s="1"/>
  <c r="H46" i="9"/>
  <c r="Q46" i="9" s="1"/>
  <c r="H43" i="9"/>
  <c r="Q43" i="9" s="1"/>
  <c r="H40" i="9"/>
  <c r="Q40" i="9" s="1"/>
  <c r="AA91" i="9"/>
  <c r="AN91" i="9" s="1"/>
  <c r="AA79" i="9"/>
  <c r="AN79" i="9" s="1"/>
  <c r="B35" i="7" l="1"/>
  <c r="B36" i="7"/>
  <c r="R145" i="9"/>
  <c r="E36" i="7"/>
  <c r="I82" i="9"/>
  <c r="G79" i="9"/>
  <c r="G82" i="9"/>
  <c r="G85" i="9"/>
  <c r="I79" i="9"/>
  <c r="I85" i="9"/>
  <c r="H136" i="9"/>
  <c r="H157" i="9"/>
  <c r="H133" i="9"/>
  <c r="H121" i="9"/>
  <c r="H130" i="9"/>
  <c r="H127" i="9"/>
  <c r="H139" i="9"/>
  <c r="H142" i="9"/>
  <c r="H160" i="9"/>
  <c r="H124" i="9"/>
  <c r="H145" i="9"/>
  <c r="H148" i="9"/>
  <c r="H151" i="9"/>
  <c r="H154" i="9"/>
</calcChain>
</file>

<file path=xl/comments1.xml><?xml version="1.0" encoding="utf-8"?>
<comments xmlns="http://schemas.openxmlformats.org/spreadsheetml/2006/main">
  <authors>
    <author>albanport</author>
    <author>FR025183 (LEMAIRE Louis-René) sur SDB025183</author>
  </authors>
  <commentList>
    <comment ref="AJ2" authorId="0">
      <text>
        <r>
          <rPr>
            <b/>
            <sz val="8"/>
            <color indexed="81"/>
            <rFont val="Tahoma"/>
            <family val="2"/>
          </rPr>
          <t>Si vous n'utilisez pas de métier vous devez répartir 60 points de compétence en plus.</t>
        </r>
      </text>
    </comment>
    <comment ref="V10" authorId="1">
      <text>
        <r>
          <rPr>
            <b/>
            <sz val="8"/>
            <color indexed="81"/>
            <rFont val="Tahoma"/>
            <family val="2"/>
          </rPr>
          <t>Le karma est votre réputation (positive ou négative) générale … 
La somme de vos bonnes ou mauvaises actions …</t>
        </r>
      </text>
    </comment>
    <comment ref="J22" authorId="1">
      <text>
        <r>
          <rPr>
            <b/>
            <sz val="8"/>
            <color indexed="81"/>
            <rFont val="Tahoma"/>
            <family val="2"/>
          </rPr>
          <t>La force représente la force physique de votre personnage. Cette caractéristique influence entre autre la chage que vous pouvez transporter, vos dégâts de mélée et vos points de santé.
Certaines armes ou armures requièrent une force minimale pour être utilisée.</t>
        </r>
      </text>
    </comment>
    <comment ref="N22" authorId="1">
      <text>
        <r>
          <rPr>
            <b/>
            <sz val="8"/>
            <color indexed="81"/>
            <rFont val="Tahoma"/>
            <family val="2"/>
          </rPr>
          <t>La perception est la capacité que votre personnage a de percevoir son environnement, remarquer les détails et interpreter une situation donnée.
Elle influence certaines compétences qui demandent un niveau élevé de concentration.
Elle modifie aussi la distance à laquelle votre personne peut tirer avec une arme.</t>
        </r>
      </text>
    </comment>
    <comment ref="S22" authorId="1">
      <text>
        <r>
          <rPr>
            <b/>
            <sz val="8"/>
            <color indexed="81"/>
            <rFont val="Tahoma"/>
            <family val="2"/>
          </rPr>
          <t>Il s'agit de la résistance physique de votre personnage, sa capacité à résister aux dégâts, poisons et à la fatigue.
Un personnage plus endurant pourra encaisser beaucoup de dégâts avant de succomber.</t>
        </r>
      </text>
    </comment>
    <comment ref="AM22" authorId="1">
      <text>
        <r>
          <rPr>
            <b/>
            <sz val="8"/>
            <color indexed="81"/>
            <rFont val="Tahoma"/>
            <family val="2"/>
          </rPr>
          <t>La chance influence les réussites &amp; échecs critiques. 
Elle peut aussi servir dans toutes sortes de situations laissées a la discretion du MJ.
Déterminée par un jet de 1D10.</t>
        </r>
      </text>
    </comment>
    <comment ref="AM26" authorId="0">
      <text>
        <r>
          <rPr>
            <b/>
            <sz val="8"/>
            <color indexed="81"/>
            <rFont val="Tahoma"/>
            <family val="2"/>
          </rPr>
          <t>Lancez 2D4+2 pour la chance</t>
        </r>
      </text>
    </comment>
  </commentList>
</comments>
</file>

<file path=xl/sharedStrings.xml><?xml version="1.0" encoding="utf-8"?>
<sst xmlns="http://schemas.openxmlformats.org/spreadsheetml/2006/main" count="1395" uniqueCount="813">
  <si>
    <t>Browing HP</t>
  </si>
  <si>
    <t>Colt 45</t>
  </si>
  <si>
    <t>Colt 6520</t>
  </si>
  <si>
    <t>Desert Eagle</t>
  </si>
  <si>
    <t>Sig Sauer p220</t>
  </si>
  <si>
    <t>Sig Sauer 338</t>
  </si>
  <si>
    <t>Catégorie</t>
  </si>
  <si>
    <t>Armes</t>
  </si>
  <si>
    <t>munition</t>
  </si>
  <si>
    <t>chargeur</t>
  </si>
  <si>
    <t>MPC (par coup)</t>
  </si>
  <si>
    <t>Poids</t>
  </si>
  <si>
    <t>Dégats</t>
  </si>
  <si>
    <t>Prix</t>
  </si>
  <si>
    <t>Skorpion</t>
  </si>
  <si>
    <t>UZI</t>
  </si>
  <si>
    <t>Divers</t>
  </si>
  <si>
    <t>Pistolet à grenade</t>
  </si>
  <si>
    <t>Pistolet à Seringues</t>
  </si>
  <si>
    <t>Pistolet incendiaire</t>
  </si>
  <si>
    <t>9mm</t>
  </si>
  <si>
    <t>10mm</t>
  </si>
  <si>
    <t>14mm</t>
  </si>
  <si>
    <t>2mm</t>
  </si>
  <si>
    <t>40mm</t>
  </si>
  <si>
    <t>Fléchette</t>
  </si>
  <si>
    <t>Essence</t>
  </si>
  <si>
    <t>2d6 +5</t>
  </si>
  <si>
    <t>2d6+3</t>
  </si>
  <si>
    <t>3d6+3</t>
  </si>
  <si>
    <t>2d6+2</t>
  </si>
  <si>
    <t>2d6</t>
  </si>
  <si>
    <t>3d6+12</t>
  </si>
  <si>
    <t>3d6+2</t>
  </si>
  <si>
    <t>3d6 +6</t>
  </si>
  <si>
    <t>2d6+2 ou 5d6+5</t>
  </si>
  <si>
    <t>5d6</t>
  </si>
  <si>
    <t>1d6</t>
  </si>
  <si>
    <t>portée (m)</t>
  </si>
  <si>
    <t>Colt Rangemaster</t>
  </si>
  <si>
    <t>Fusil de sniper DKs70</t>
  </si>
  <si>
    <t>fusil Garant m1</t>
  </si>
  <si>
    <t>fusil Gauss M72</t>
  </si>
  <si>
    <t>Tromblon</t>
  </si>
  <si>
    <t>Fm Neostead</t>
  </si>
  <si>
    <t>H&amp;K Caws</t>
  </si>
  <si>
    <t>Winchester City Killer</t>
  </si>
  <si>
    <t>Calico M950</t>
  </si>
  <si>
    <t>FN P90C</t>
  </si>
  <si>
    <t>H&amp;K MP5</t>
  </si>
  <si>
    <t>MP38</t>
  </si>
  <si>
    <t>Sten</t>
  </si>
  <si>
    <t>7,62mm</t>
  </si>
  <si>
    <t>Ec 2mm</t>
  </si>
  <si>
    <t>BBS</t>
  </si>
  <si>
    <t>12g</t>
  </si>
  <si>
    <t>4d6</t>
  </si>
  <si>
    <t>4d6+15</t>
  </si>
  <si>
    <t>3d6+5</t>
  </si>
  <si>
    <t>3d6 +4 ou 5d6+6</t>
  </si>
  <si>
    <t>2d6+5 ou 6d6+9</t>
  </si>
  <si>
    <t>2d6+4 ou 5d6+7</t>
  </si>
  <si>
    <t>2d6+5 ou 5d6+8</t>
  </si>
  <si>
    <t>2d6+11 ou 6d6+15</t>
  </si>
  <si>
    <t>Ak-47 Kalachnikov</t>
  </si>
  <si>
    <t>Ak-112</t>
  </si>
  <si>
    <t>5,56mm</t>
  </si>
  <si>
    <t>2d6+5 ou H17d6+10</t>
  </si>
  <si>
    <t>FN Fal</t>
  </si>
  <si>
    <t>M14</t>
  </si>
  <si>
    <t>M16 A1</t>
  </si>
  <si>
    <t>Steyr AUG</t>
  </si>
  <si>
    <t>Lance-Grenade M79</t>
  </si>
  <si>
    <t>Bren</t>
  </si>
  <si>
    <t>10 en rafale</t>
  </si>
  <si>
    <t>Lewis MkII</t>
  </si>
  <si>
    <t>10d6+15</t>
  </si>
  <si>
    <t>M-60</t>
  </si>
  <si>
    <t>M249</t>
  </si>
  <si>
    <t>Minigun Avenger</t>
  </si>
  <si>
    <t>30 en rafale</t>
  </si>
  <si>
    <t xml:space="preserve"> </t>
  </si>
  <si>
    <t>200 en rafale</t>
  </si>
  <si>
    <t>Vindicator</t>
  </si>
  <si>
    <t>40 en rafale</t>
  </si>
  <si>
    <t xml:space="preserve"> Rockwell Bazooka</t>
  </si>
  <si>
    <t>Roquettes</t>
  </si>
  <si>
    <t xml:space="preserve"> Mortier</t>
  </si>
  <si>
    <t>Alien Blaster</t>
  </si>
  <si>
    <t xml:space="preserve"> Energie</t>
  </si>
  <si>
    <t xml:space="preserve"> 10d6+30</t>
  </si>
  <si>
    <t xml:space="preserve"> //</t>
  </si>
  <si>
    <t>Glock 86 Plasma</t>
  </si>
  <si>
    <t xml:space="preserve"> 4d6+10</t>
  </si>
  <si>
    <t xml:space="preserve"> 4d6+15</t>
  </si>
  <si>
    <t>Glock 96 Plasma</t>
  </si>
  <si>
    <t xml:space="preserve"> Micro.f</t>
  </si>
  <si>
    <t>Pistolet à spasmes</t>
  </si>
  <si>
    <t xml:space="preserve"> 4d6</t>
  </si>
  <si>
    <t>Pistolet YK32</t>
  </si>
  <si>
    <t xml:space="preserve"> 4d6+20</t>
  </si>
  <si>
    <t xml:space="preserve"> 8d6+12 </t>
  </si>
  <si>
    <t>Fusil à plasma P94</t>
  </si>
  <si>
    <t xml:space="preserve"> 8d6+20</t>
  </si>
  <si>
    <t>Fusil IEM</t>
  </si>
  <si>
    <t>Fusil IEM YK42b</t>
  </si>
  <si>
    <t>Gatling Laser</t>
  </si>
  <si>
    <t>Cogneur</t>
  </si>
  <si>
    <t xml:space="preserve"> 1d6+DM+2</t>
  </si>
  <si>
    <t>Gants de boxe</t>
  </si>
  <si>
    <t xml:space="preserve"> 1d6+DM+1</t>
  </si>
  <si>
    <t xml:space="preserve"> 1d6+DM+5</t>
  </si>
  <si>
    <t>1d6+DM+3</t>
  </si>
  <si>
    <t>Lames adamantines</t>
  </si>
  <si>
    <t>Poing énergétique</t>
  </si>
  <si>
    <t>Armes Blanches</t>
  </si>
  <si>
    <t xml:space="preserve"> 2d6+DM+2</t>
  </si>
  <si>
    <t>Couperet</t>
  </si>
  <si>
    <t>2d6+DM+5</t>
  </si>
  <si>
    <t xml:space="preserve"> 2d6+DM</t>
  </si>
  <si>
    <t xml:space="preserve"> 3d6+DM</t>
  </si>
  <si>
    <t xml:space="preserve"> 2d6+DM+3</t>
  </si>
  <si>
    <t>Arbalète</t>
  </si>
  <si>
    <t xml:space="preserve"> Arc</t>
  </si>
  <si>
    <t xml:space="preserve"> Boomerang</t>
  </si>
  <si>
    <t xml:space="preserve"> Couteau de lancer</t>
  </si>
  <si>
    <t>Fléchettes</t>
  </si>
  <si>
    <t xml:space="preserve"> Carreaux</t>
  </si>
  <si>
    <t xml:space="preserve"> 3d6</t>
  </si>
  <si>
    <t xml:space="preserve"> Flèches</t>
  </si>
  <si>
    <t xml:space="preserve"> 2d6</t>
  </si>
  <si>
    <t>Grenades</t>
  </si>
  <si>
    <t>Chakram</t>
  </si>
  <si>
    <t xml:space="preserve"> 1d6+DM+4</t>
  </si>
  <si>
    <t xml:space="preserve"> Shuriken</t>
  </si>
  <si>
    <t xml:space="preserve"> Sphère métamorphe</t>
  </si>
  <si>
    <t>Armures légères</t>
  </si>
  <si>
    <t>Veste de combat</t>
  </si>
  <si>
    <t xml:space="preserve"> Seuil</t>
  </si>
  <si>
    <t xml:space="preserve"> Torse,bras</t>
  </si>
  <si>
    <t>Protège</t>
  </si>
  <si>
    <t>Armure de cuir II</t>
  </si>
  <si>
    <t>Nom</t>
  </si>
  <si>
    <t>CA</t>
  </si>
  <si>
    <t xml:space="preserve"> Poids</t>
  </si>
  <si>
    <t>Place</t>
  </si>
  <si>
    <t xml:space="preserve"> Prix</t>
  </si>
  <si>
    <t>Veste de cuir</t>
  </si>
  <si>
    <t>Amure de cuir</t>
  </si>
  <si>
    <t>Armure Biologique</t>
  </si>
  <si>
    <t>Amure de Goule</t>
  </si>
  <si>
    <t>Amure de Mutant</t>
  </si>
  <si>
    <t>Casque</t>
  </si>
  <si>
    <t>Brassards</t>
  </si>
  <si>
    <t>Jambières</t>
  </si>
  <si>
    <t>Torse</t>
  </si>
  <si>
    <t>Jambes</t>
  </si>
  <si>
    <t>Bras</t>
  </si>
  <si>
    <t>Armures moyennes</t>
  </si>
  <si>
    <t>Amures de métal</t>
  </si>
  <si>
    <t>Armure de métal 2</t>
  </si>
  <si>
    <t>Armure de combat</t>
  </si>
  <si>
    <t>Armure de combat 2</t>
  </si>
  <si>
    <t>Armure de tesla</t>
  </si>
  <si>
    <t>Armure de goule 2</t>
  </si>
  <si>
    <t>Armure de mutant 2</t>
  </si>
  <si>
    <t xml:space="preserve">  Torse,bras</t>
  </si>
  <si>
    <t xml:space="preserve"> Totale</t>
  </si>
  <si>
    <t>Superamure MK 2</t>
  </si>
  <si>
    <t>Superamure MK 2B</t>
  </si>
  <si>
    <t>Superarmure Mk-C1</t>
  </si>
  <si>
    <t>Superarmure Mk-C2</t>
  </si>
  <si>
    <t>Superarmure Mk-A1</t>
  </si>
  <si>
    <t>Superarmure Mk-A2</t>
  </si>
  <si>
    <t>Totale</t>
  </si>
  <si>
    <t>Malus %</t>
  </si>
  <si>
    <t xml:space="preserve"> Normal %</t>
  </si>
  <si>
    <t xml:space="preserve"> Laser %</t>
  </si>
  <si>
    <t xml:space="preserve"> Feu %</t>
  </si>
  <si>
    <t xml:space="preserve"> Plasma %</t>
  </si>
  <si>
    <t xml:space="preserve"> Explosion %</t>
  </si>
  <si>
    <t>Rayon</t>
  </si>
  <si>
    <t>Grenade acide</t>
  </si>
  <si>
    <t>Grenade aveuglante</t>
  </si>
  <si>
    <t>Grenade Frag</t>
  </si>
  <si>
    <t>Grenade IEM</t>
  </si>
  <si>
    <t>Grenade incendaire</t>
  </si>
  <si>
    <t>Grande à plasma</t>
  </si>
  <si>
    <t>6d6+20</t>
  </si>
  <si>
    <t>C4</t>
  </si>
  <si>
    <t>Claymore</t>
  </si>
  <si>
    <t>Dynamite</t>
  </si>
  <si>
    <t>Piège explosif</t>
  </si>
  <si>
    <t>Piège IEM</t>
  </si>
  <si>
    <t>Piège Télécommandé</t>
  </si>
  <si>
    <t>8d6+25</t>
  </si>
  <si>
    <t>10d6+100</t>
  </si>
  <si>
    <t>10d6+50</t>
  </si>
  <si>
    <t>10d6+30</t>
  </si>
  <si>
    <t>Substances Chimiques</t>
  </si>
  <si>
    <t>Usage</t>
  </si>
  <si>
    <t>Overdose</t>
  </si>
  <si>
    <t>Effet</t>
  </si>
  <si>
    <t>Dépend,</t>
  </si>
  <si>
    <t>Poudre de soins</t>
  </si>
  <si>
    <t>Stimpack</t>
  </si>
  <si>
    <t>Super Stimpack</t>
  </si>
  <si>
    <t>Ultra Stimpack</t>
  </si>
  <si>
    <t>Hypo</t>
  </si>
  <si>
    <t>Kit de 1er soins</t>
  </si>
  <si>
    <t>Trousse de médécin</t>
  </si>
  <si>
    <t>Kit d'intervention</t>
  </si>
  <si>
    <t>Soin</t>
  </si>
  <si>
    <t>non</t>
  </si>
  <si>
    <t>10x/24h</t>
  </si>
  <si>
    <t>5x/24h</t>
  </si>
  <si>
    <t>2d6 hp</t>
  </si>
  <si>
    <t>3d6 hp</t>
  </si>
  <si>
    <t>5d6 hp</t>
  </si>
  <si>
    <t>6d6 hp</t>
  </si>
  <si>
    <t>8d6 hp + 2 fo</t>
  </si>
  <si>
    <t>4d6 hp</t>
  </si>
  <si>
    <t xml:space="preserve">100% hp </t>
  </si>
  <si>
    <t>Effet secondaire</t>
  </si>
  <si>
    <t>5h</t>
  </si>
  <si>
    <t>4h</t>
  </si>
  <si>
    <t xml:space="preserve"> -1 Pe</t>
  </si>
  <si>
    <t xml:space="preserve"> -2 PE</t>
  </si>
  <si>
    <t xml:space="preserve"> -2 Pe -3d6 Hp</t>
  </si>
  <si>
    <t>Antidote</t>
  </si>
  <si>
    <t>Rad-X</t>
  </si>
  <si>
    <t>Rad-Away</t>
  </si>
  <si>
    <t>Voodoo</t>
  </si>
  <si>
    <t>Amphéta-gum</t>
  </si>
  <si>
    <t>Dopax</t>
  </si>
  <si>
    <t>Mutie</t>
  </si>
  <si>
    <t>Mentat</t>
  </si>
  <si>
    <t>Psycho</t>
  </si>
  <si>
    <t>Jet</t>
  </si>
  <si>
    <t>Antirad</t>
  </si>
  <si>
    <t>Drogue</t>
  </si>
  <si>
    <t>10x/48h</t>
  </si>
  <si>
    <t>3x/24h</t>
  </si>
  <si>
    <t>7x/24h</t>
  </si>
  <si>
    <t>2x/24h</t>
  </si>
  <si>
    <t>1x/6h</t>
  </si>
  <si>
    <t>1x/12h</t>
  </si>
  <si>
    <t>Guérit poison</t>
  </si>
  <si>
    <t>50% res. Rad</t>
  </si>
  <si>
    <t xml:space="preserve"> +2AG, +2C</t>
  </si>
  <si>
    <t>1Force 1 Pe</t>
  </si>
  <si>
    <t xml:space="preserve"> 3 End</t>
  </si>
  <si>
    <t>4 Fo 4End</t>
  </si>
  <si>
    <t>2Pe 4Int</t>
  </si>
  <si>
    <t>3 AG 3 CA</t>
  </si>
  <si>
    <t xml:space="preserve"> 3 Fo 2PA</t>
  </si>
  <si>
    <t>1x/48h</t>
  </si>
  <si>
    <t>1x/60h</t>
  </si>
  <si>
    <t>1x/12h -12h</t>
  </si>
  <si>
    <t>1x/6h -4h</t>
  </si>
  <si>
    <t>1x/48h -6h</t>
  </si>
  <si>
    <t>1x/60h -24h</t>
  </si>
  <si>
    <t>1x/48h -12h</t>
  </si>
  <si>
    <t>1x/48h -4h</t>
  </si>
  <si>
    <t>Immédiat</t>
  </si>
  <si>
    <t>12h</t>
  </si>
  <si>
    <t>Nombre et durée</t>
  </si>
  <si>
    <t xml:space="preserve"> -3Fo -4Pa</t>
  </si>
  <si>
    <t xml:space="preserve"> -3 INT</t>
  </si>
  <si>
    <t xml:space="preserve">  -4INT -4PE</t>
  </si>
  <si>
    <t xml:space="preserve"> -4Ch -4INT</t>
  </si>
  <si>
    <t>Alcool fort</t>
  </si>
  <si>
    <t>Bière</t>
  </si>
  <si>
    <t>Brochette de Gecko</t>
  </si>
  <si>
    <t>Eau</t>
  </si>
  <si>
    <t>Gourde</t>
  </si>
  <si>
    <t>Nuka Cola</t>
  </si>
  <si>
    <t>Œuf De Griffemort</t>
  </si>
  <si>
    <t>Pain</t>
  </si>
  <si>
    <t>Rations de survie</t>
  </si>
  <si>
    <t>Réchaud à Microfusion</t>
  </si>
  <si>
    <t>Viande</t>
  </si>
  <si>
    <t>…</t>
  </si>
  <si>
    <t>Bottes</t>
  </si>
  <si>
    <t>Brahmine</t>
  </si>
  <si>
    <t>Briquet</t>
  </si>
  <si>
    <t>Cat's Paw</t>
  </si>
  <si>
    <t>Ceinture militaire</t>
  </si>
  <si>
    <t>Chaussures de Marche</t>
  </si>
  <si>
    <t>Corde</t>
  </si>
  <si>
    <t>Couteau Suisse</t>
  </si>
  <si>
    <t>Couverture</t>
  </si>
  <si>
    <t>Esclave</t>
  </si>
  <si>
    <t>Etui pour arme</t>
  </si>
  <si>
    <t>Jeans</t>
  </si>
  <si>
    <t>Malette</t>
  </si>
  <si>
    <t>10 mètres de corde</t>
  </si>
  <si>
    <t>Plus cher si c'est une femme jolie</t>
  </si>
  <si>
    <t>Na</t>
  </si>
  <si>
    <t>Matériel de couture</t>
  </si>
  <si>
    <t>Pelle</t>
  </si>
  <si>
    <t>Préservatif</t>
  </si>
  <si>
    <t>Rasoir</t>
  </si>
  <si>
    <t>Sac de couchage</t>
  </si>
  <si>
    <t>Sac militaire</t>
  </si>
  <si>
    <t>Tente</t>
  </si>
  <si>
    <t>torche</t>
  </si>
  <si>
    <t>torche életrique</t>
  </si>
  <si>
    <t>Sac standard</t>
  </si>
  <si>
    <t>Pour quatre personnes</t>
  </si>
  <si>
    <t>20M/4h</t>
  </si>
  <si>
    <t>Amplificateur linguistique</t>
  </si>
  <si>
    <t>Boite à outils</t>
  </si>
  <si>
    <t>Caméra</t>
  </si>
  <si>
    <t>Capteur de mouvements</t>
  </si>
  <si>
    <t>Compteur Geiger</t>
  </si>
  <si>
    <t>Crocheteur électronique</t>
  </si>
  <si>
    <t>Holodisque</t>
  </si>
  <si>
    <t>Jumelles</t>
  </si>
  <si>
    <t>Jumelles Militaires</t>
  </si>
  <si>
    <t>Kit de serrurier</t>
  </si>
  <si>
    <t>Longue vue</t>
  </si>
  <si>
    <t>Lunettes infravision</t>
  </si>
  <si>
    <t>Magnétophone</t>
  </si>
  <si>
    <t>Masque à gaz</t>
  </si>
  <si>
    <t>Ordinateur</t>
  </si>
  <si>
    <t>Ordinateur portable</t>
  </si>
  <si>
    <t>Langues 50% (pda)</t>
  </si>
  <si>
    <t>Premiers soins 30%, Médecine 20% (pda)</t>
  </si>
  <si>
    <t>réparation +30%</t>
  </si>
  <si>
    <t>sur 10m (pda)</t>
  </si>
  <si>
    <t>(pda)</t>
  </si>
  <si>
    <t>crochetage 20% serrures électro,</t>
  </si>
  <si>
    <t>1to de données</t>
  </si>
  <si>
    <t>discrétion +50%</t>
  </si>
  <si>
    <t>Crochetage +20% serrures meca,</t>
  </si>
  <si>
    <t>Lunettes</t>
  </si>
  <si>
    <t>100% résistance aux gaz</t>
  </si>
  <si>
    <t>Jeu duke Nukem 3d inclus</t>
  </si>
  <si>
    <t>Avec du porno pour le faire partout</t>
  </si>
  <si>
    <t>(Cleanex non fourni)</t>
  </si>
  <si>
    <t>Pipboy</t>
  </si>
  <si>
    <t>Radio</t>
  </si>
  <si>
    <t>Super kit de serrurier</t>
  </si>
  <si>
    <t>Super crocheteur électronique</t>
  </si>
  <si>
    <t>Viseur laser</t>
  </si>
  <si>
    <t>Personal Digital Assistant (ou pda)</t>
  </si>
  <si>
    <t>50Km de portée</t>
  </si>
  <si>
    <t>75km de portée</t>
  </si>
  <si>
    <t>réduction du buit</t>
  </si>
  <si>
    <t>corchetage +60% serrures élec.</t>
  </si>
  <si>
    <t>crochetage +50% serrures meca.</t>
  </si>
  <si>
    <t>portée 1K, utilisable pour une équipe</t>
  </si>
  <si>
    <t>Améliore stabilité (10% en tir)</t>
  </si>
  <si>
    <t>Améliore visée (10% en tir)</t>
  </si>
  <si>
    <t>Acide Chlorhydrique</t>
  </si>
  <si>
    <t>BBs</t>
  </si>
  <si>
    <t>Essence pour lance flammes</t>
  </si>
  <si>
    <t>Flèches, carreaux</t>
  </si>
  <si>
    <t>Munitions légères</t>
  </si>
  <si>
    <t>Munitions moyennes lourdes</t>
  </si>
  <si>
    <t>Munitions pour Gauss</t>
  </si>
  <si>
    <t>Obus pour mortier</t>
  </si>
  <si>
    <t>Pile à Micro-fusion</t>
  </si>
  <si>
    <t>Roquette explosive</t>
  </si>
  <si>
    <t>Bouteille de HCI (10unité de tir)</t>
  </si>
  <si>
    <t>Paquet de 100 billes</t>
  </si>
  <si>
    <t>carquois de 20 projectiles</t>
  </si>
  <si>
    <t>4 grenades de 40mm</t>
  </si>
  <si>
    <t xml:space="preserve">25 cartouches pour 9/10/14mm, .44 ou .45 </t>
  </si>
  <si>
    <t>Boite de 300 projectiles EC2mm,</t>
  </si>
  <si>
    <t>Un obus unique</t>
  </si>
  <si>
    <t>une pile à micro-fusion</t>
  </si>
  <si>
    <t>Une roquette pour bazooka</t>
  </si>
  <si>
    <t>Par 10 pour les petites nouilles</t>
  </si>
  <si>
    <t>Fourni avec un micro</t>
  </si>
  <si>
    <t>.45</t>
  </si>
  <si>
    <t>.44</t>
  </si>
  <si>
    <t>.303</t>
  </si>
  <si>
    <t>.30-06</t>
  </si>
  <si>
    <t>.50</t>
  </si>
  <si>
    <t>Energique</t>
  </si>
  <si>
    <t>Amplificateur médical</t>
  </si>
  <si>
    <t>observation +60%, zoom x30</t>
  </si>
  <si>
    <t>observation +20%, zoom x10</t>
  </si>
  <si>
    <t>observation +40% zoom x20</t>
  </si>
  <si>
    <t>pas de malus d'obscurité</t>
  </si>
  <si>
    <t>Visée arme +5% en tir</t>
  </si>
  <si>
    <t>Une bonbonne de 15 unité de tir</t>
  </si>
  <si>
    <t>boite de 10 fléchettes/seringues</t>
  </si>
  <si>
    <t>50 balles pour 5,56/7.62mm, .303, .30-06, .50 ou 12g</t>
  </si>
  <si>
    <t>Mauser HSI</t>
  </si>
  <si>
    <t>Revolver Casull</t>
  </si>
  <si>
    <t>Smith &amp; Wesson M29</t>
  </si>
  <si>
    <t>Fusil de sniper Dks50</t>
  </si>
  <si>
    <t>Red Ryder LE BB</t>
  </si>
  <si>
    <t>Red Ryder SE BB</t>
  </si>
  <si>
    <t>Winchester 1895</t>
  </si>
  <si>
    <t>Beretta Silverhawk</t>
  </si>
  <si>
    <t>Fusil à pompe</t>
  </si>
  <si>
    <t>Pencor Jackhammer</t>
  </si>
  <si>
    <t>Calico Liberty 100</t>
  </si>
  <si>
    <t>Ruger AC556F</t>
  </si>
  <si>
    <t>Thompson M1928</t>
  </si>
  <si>
    <t>Fusil Sniper Enfield XN 70e3</t>
  </si>
  <si>
    <t>Browning M2</t>
  </si>
  <si>
    <t>Wattz 1600 laser</t>
  </si>
  <si>
    <t>Wattz 1000 laser</t>
  </si>
  <si>
    <t>Wattz 2000 Sniper</t>
  </si>
  <si>
    <t>Wattz 2600 Sniper</t>
  </si>
  <si>
    <t>Clé anglaise</t>
  </si>
  <si>
    <t>Batte de Base-ball</t>
  </si>
  <si>
    <t>Couteau</t>
  </si>
  <si>
    <t>Couteau de combat</t>
  </si>
  <si>
    <t>Epée</t>
  </si>
  <si>
    <t>Eviscérator</t>
  </si>
  <si>
    <t>Lance</t>
  </si>
  <si>
    <t>Machette</t>
  </si>
  <si>
    <t>Marteau électrique</t>
  </si>
  <si>
    <t>Matraque</t>
  </si>
  <si>
    <t>Pied de Biche</t>
  </si>
  <si>
    <t>Tronçoneuse</t>
  </si>
  <si>
    <t>Traumapak</t>
  </si>
  <si>
    <t>Trousse de soins</t>
  </si>
  <si>
    <t>Légumes</t>
  </si>
  <si>
    <t>Ustensiles de cuisine</t>
  </si>
  <si>
    <t>StealthBoy</t>
  </si>
  <si>
    <t>Radio militaire (oreillette)</t>
  </si>
  <si>
    <t>Silencieux</t>
  </si>
  <si>
    <t>Talkie-Walkie</t>
  </si>
  <si>
    <t>Trépied</t>
  </si>
  <si>
    <t>Cellules énérgétiques</t>
  </si>
  <si>
    <t>Fléchettes, seringues</t>
  </si>
  <si>
    <t>Force Min</t>
  </si>
  <si>
    <t>Point d'Action</t>
  </si>
  <si>
    <t>2d6+1</t>
  </si>
  <si>
    <t>4/-/6</t>
  </si>
  <si>
    <t>5/-/7</t>
  </si>
  <si>
    <t>Beretta M9FS</t>
  </si>
  <si>
    <t>2d6 +7</t>
  </si>
  <si>
    <t>2d6+9</t>
  </si>
  <si>
    <t>.223 Auto</t>
  </si>
  <si>
    <t>.223</t>
  </si>
  <si>
    <t>.44 Magnum</t>
  </si>
  <si>
    <t>3d6+4</t>
  </si>
  <si>
    <t>4/R/6</t>
  </si>
  <si>
    <t>Walter MPL</t>
  </si>
  <si>
    <t>2d6+3 ou 5d6+6</t>
  </si>
  <si>
    <t>2d6+4 ou 5d6+8</t>
  </si>
  <si>
    <t>5/R/7</t>
  </si>
  <si>
    <t>H&amp;K MP9</t>
  </si>
  <si>
    <t>5d6+12</t>
  </si>
  <si>
    <t>/R(6)/-</t>
  </si>
  <si>
    <t>5,7mm</t>
  </si>
  <si>
    <t>2d6+7 ou 5d6+14</t>
  </si>
  <si>
    <t>HCL</t>
  </si>
  <si>
    <t>5/-/-</t>
  </si>
  <si>
    <t>Pistolet ZIP</t>
  </si>
  <si>
    <t>7/-/-</t>
  </si>
  <si>
    <t>3d6 +10</t>
  </si>
  <si>
    <t>4d6+14</t>
  </si>
  <si>
    <t>Fusil Sniper Dragunov</t>
  </si>
  <si>
    <t>4d6+20</t>
  </si>
  <si>
    <t>EC 2mm</t>
  </si>
  <si>
    <t>4d6 +50</t>
  </si>
  <si>
    <t>1d6+3</t>
  </si>
  <si>
    <t>1d6 +7</t>
  </si>
  <si>
    <t>1d6+11</t>
  </si>
  <si>
    <t>5/-/8</t>
  </si>
  <si>
    <t>4d6+6</t>
  </si>
  <si>
    <t>4d6+9</t>
  </si>
  <si>
    <t>4d6+6 ou 5d6+17</t>
  </si>
  <si>
    <t>4d6+4 ou 5d6+10</t>
  </si>
  <si>
    <t>4d6+10 ou 5d6+25</t>
  </si>
  <si>
    <t>2d6+7 ou 5d6+12</t>
  </si>
  <si>
    <t>2d6+7 ou 5d6+9</t>
  </si>
  <si>
    <t>2d6+8 ou 6d6+12</t>
  </si>
  <si>
    <t>4d6+6 ou 6d6+12</t>
  </si>
  <si>
    <t>4d6+8 ou 7d6+5</t>
  </si>
  <si>
    <t>Famas G2</t>
  </si>
  <si>
    <t>4d6+7 ou 6d6+14</t>
  </si>
  <si>
    <t>3d6+6 ou 6d6+5</t>
  </si>
  <si>
    <t>3d6+4 ou 6d6+5</t>
  </si>
  <si>
    <t>4d6+4 ou 6d6+11</t>
  </si>
  <si>
    <t>4d6+9 ou 6d6+14</t>
  </si>
  <si>
    <t>Gauss PkK12 [CA - 50%]</t>
  </si>
  <si>
    <t>Pistolet à acide [CA -25%]</t>
  </si>
  <si>
    <t>G36K</t>
  </si>
  <si>
    <t>4d6+10 ou 7d6+18</t>
  </si>
  <si>
    <t>L85A1</t>
  </si>
  <si>
    <t>4d6+12 ou 7d6+16</t>
  </si>
  <si>
    <t>7d6+20</t>
  </si>
  <si>
    <t>6/-/-</t>
  </si>
  <si>
    <t>9d6+2</t>
  </si>
  <si>
    <t>-/R(7)/-</t>
  </si>
  <si>
    <t>1/5</t>
  </si>
  <si>
    <t>1/4</t>
  </si>
  <si>
    <t>1/2</t>
  </si>
  <si>
    <t>1/3</t>
  </si>
  <si>
    <t>1/6</t>
  </si>
  <si>
    <t>8d6+30</t>
  </si>
  <si>
    <t>8d6+7</t>
  </si>
  <si>
    <t>8d6+15</t>
  </si>
  <si>
    <t>9d6+12</t>
  </si>
  <si>
    <t>-/R(6)/-</t>
  </si>
  <si>
    <t>Minigun Rockwell CZ4000</t>
  </si>
  <si>
    <t>10d6+9</t>
  </si>
  <si>
    <t>3D20+40</t>
  </si>
  <si>
    <t>R(7)/-/-</t>
  </si>
  <si>
    <t xml:space="preserve"> 8d6+45</t>
  </si>
  <si>
    <t>R(8)/-/-</t>
  </si>
  <si>
    <t>3/-/5</t>
  </si>
  <si>
    <t>2d6+15</t>
  </si>
  <si>
    <t>Lance Flamme Solaire</t>
  </si>
  <si>
    <t xml:space="preserve"> 8d6+38</t>
  </si>
  <si>
    <t>//</t>
  </si>
  <si>
    <t xml:space="preserve"> 4d6+25</t>
  </si>
  <si>
    <t xml:space="preserve"> 6d6+40</t>
  </si>
  <si>
    <t xml:space="preserve"> 8d6+50</t>
  </si>
  <si>
    <t>Fusil à plasma P96</t>
  </si>
  <si>
    <t xml:space="preserve"> 4d6+40</t>
  </si>
  <si>
    <t xml:space="preserve">  10d6+32</t>
  </si>
  <si>
    <t>Lance-flammes Flambe's 450</t>
  </si>
  <si>
    <t>Micro.f</t>
  </si>
  <si>
    <t>Lance-flammes Flambe's 450 MK II</t>
  </si>
  <si>
    <t xml:space="preserve"> 1d6+DM+3</t>
  </si>
  <si>
    <t>1d6+DM+4</t>
  </si>
  <si>
    <t>Poing Américain</t>
  </si>
  <si>
    <t>Poing Américain aiguisé</t>
  </si>
  <si>
    <t>Lacéreurs</t>
  </si>
  <si>
    <t>Gant Masse</t>
  </si>
  <si>
    <t>3D6+DM+15</t>
  </si>
  <si>
    <t>1D6+DM+10</t>
  </si>
  <si>
    <t>Méga Super-poing Énergétique</t>
  </si>
  <si>
    <t>3D6+DM+30</t>
  </si>
  <si>
    <t>2d6+DM</t>
  </si>
  <si>
    <t>2d6+DM+6</t>
  </si>
  <si>
    <t xml:space="preserve"> 2d6+DM+1</t>
  </si>
  <si>
    <t xml:space="preserve"> 3d6+DM+6</t>
  </si>
  <si>
    <t>3d6+DM</t>
  </si>
  <si>
    <t>Wakisachi</t>
  </si>
  <si>
    <t>3d6+DM+4</t>
  </si>
  <si>
    <t xml:space="preserve"> 3d6+DM+2</t>
  </si>
  <si>
    <t>Marteau</t>
  </si>
  <si>
    <t xml:space="preserve"> 3d6+DM+8</t>
  </si>
  <si>
    <t>Aiguillon à bétail</t>
  </si>
  <si>
    <t>3d6+DM+8</t>
  </si>
  <si>
    <t>Masssue</t>
  </si>
  <si>
    <t>Super-massue</t>
  </si>
  <si>
    <t>4D6+DM+10</t>
  </si>
  <si>
    <t>Inf</t>
  </si>
  <si>
    <t>Scalpel</t>
  </si>
  <si>
    <t>Bâton</t>
  </si>
  <si>
    <t>3/-/-</t>
  </si>
  <si>
    <t>1D6+DM+2</t>
  </si>
  <si>
    <t>Grenades (Et coktails)</t>
  </si>
  <si>
    <t xml:space="preserve"> 1d6+DM+6</t>
  </si>
  <si>
    <t xml:space="preserve"> 1d6+DM+8</t>
  </si>
  <si>
    <t>Force Mini</t>
  </si>
  <si>
    <t>Points d'action</t>
  </si>
  <si>
    <t>5d6+15</t>
  </si>
  <si>
    <t>5d6+8</t>
  </si>
  <si>
    <t>8d6+10</t>
  </si>
  <si>
    <t>Type(s)</t>
  </si>
  <si>
    <t>N = Normal</t>
  </si>
  <si>
    <t>L = Laser</t>
  </si>
  <si>
    <t>P = Plasma</t>
  </si>
  <si>
    <t>F = Feu</t>
  </si>
  <si>
    <t>E = Explosion</t>
  </si>
  <si>
    <t>I = IEM/Electricité</t>
  </si>
  <si>
    <t>A = Autres (Non absorbés par CA/Effets sur la CA</t>
  </si>
  <si>
    <t>N</t>
  </si>
  <si>
    <t>A</t>
  </si>
  <si>
    <t>E</t>
  </si>
  <si>
    <t>F</t>
  </si>
  <si>
    <t>Minigun Gauss (CA -50%)</t>
  </si>
  <si>
    <t>P</t>
  </si>
  <si>
    <t>L</t>
  </si>
  <si>
    <t>I</t>
  </si>
  <si>
    <t xml:space="preserve"> (voir liste objets Utilisables)</t>
  </si>
  <si>
    <t>5d6+10</t>
  </si>
  <si>
    <t>Total</t>
  </si>
  <si>
    <t>/</t>
  </si>
  <si>
    <t>Piège à Spores</t>
  </si>
  <si>
    <t>2d6+10</t>
  </si>
  <si>
    <t>Plastic Militaire + Détonateur</t>
  </si>
  <si>
    <t>5d6+40</t>
  </si>
  <si>
    <t>10d6+35</t>
  </si>
  <si>
    <t>3d20+20</t>
  </si>
  <si>
    <t>6d6+15</t>
  </si>
  <si>
    <t>Mine à acide T86</t>
  </si>
  <si>
    <t>A (CA - 25%)</t>
  </si>
  <si>
    <t>A (PA = 0)</t>
  </si>
  <si>
    <t>F (3d6/R)</t>
  </si>
  <si>
    <t>A (CA -25%)</t>
  </si>
  <si>
    <t>Mine antipersonnelle t13</t>
  </si>
  <si>
    <t>9d620</t>
  </si>
  <si>
    <t>Mine T45 LE (Véhicule)</t>
  </si>
  <si>
    <t>Mine T45 SE (Tout)</t>
  </si>
  <si>
    <t xml:space="preserve"> -50 rad</t>
  </si>
  <si>
    <t>IEM/Électricité %</t>
  </si>
  <si>
    <t>Pieds :</t>
  </si>
  <si>
    <t>Poids :</t>
  </si>
  <si>
    <t>Jambes :</t>
  </si>
  <si>
    <t>Tête :</t>
  </si>
  <si>
    <t>Explosifs</t>
  </si>
  <si>
    <t>Catégories</t>
  </si>
  <si>
    <t>Tête</t>
  </si>
  <si>
    <t>Armure</t>
  </si>
  <si>
    <t>Sac à dos, Ceintures etc</t>
  </si>
  <si>
    <t>Max</t>
  </si>
  <si>
    <t xml:space="preserve"> améliorer votre maîtrise, vous devez dépenser des points de compétences.</t>
  </si>
  <si>
    <t>* le premier niveau supprime les malus que vous avez si vous n'avez pas le savoir. Pour</t>
  </si>
  <si>
    <t>Vol à l'étalage</t>
  </si>
  <si>
    <t>Médecine</t>
  </si>
  <si>
    <t>Vol à la tire</t>
  </si>
  <si>
    <t>Mécanique</t>
  </si>
  <si>
    <t>Hélicoptères</t>
  </si>
  <si>
    <t>Linguistique</t>
  </si>
  <si>
    <t>Dressage</t>
  </si>
  <si>
    <t>Informatique</t>
  </si>
  <si>
    <t>Pistage</t>
  </si>
  <si>
    <t>1D6 +</t>
  </si>
  <si>
    <t>Pied-Tête</t>
  </si>
  <si>
    <t>□</t>
  </si>
  <si>
    <t>Orientation</t>
  </si>
  <si>
    <t>Fabrication</t>
  </si>
  <si>
    <t>Argent</t>
  </si>
  <si>
    <t>Fric</t>
  </si>
  <si>
    <t>Pied-Double</t>
  </si>
  <si>
    <t>Fouilles</t>
  </si>
  <si>
    <t>Force</t>
  </si>
  <si>
    <t>Maximale</t>
  </si>
  <si>
    <t>Pied-L'entre.</t>
  </si>
  <si>
    <t>Voitures</t>
  </si>
  <si>
    <t>Explosif</t>
  </si>
  <si>
    <t>Temp.</t>
  </si>
  <si>
    <t>Pied-Ventre</t>
  </si>
  <si>
    <t>Troc</t>
  </si>
  <si>
    <t>Escalade</t>
  </si>
  <si>
    <t>Normale</t>
  </si>
  <si>
    <t>Charges</t>
  </si>
  <si>
    <t>Pied-hanche</t>
  </si>
  <si>
    <t>Achat/Vente</t>
  </si>
  <si>
    <t>Electronique</t>
  </si>
  <si>
    <t>Maximum</t>
  </si>
  <si>
    <t>Croche-pieds</t>
  </si>
  <si>
    <t>Persuasion</t>
  </si>
  <si>
    <t>Déguisement</t>
  </si>
  <si>
    <t>Atemi</t>
  </si>
  <si>
    <t>Intimidation</t>
  </si>
  <si>
    <t>Course</t>
  </si>
  <si>
    <t>Iventaire</t>
  </si>
  <si>
    <t>Etranglement</t>
  </si>
  <si>
    <t>Vue</t>
  </si>
  <si>
    <t>Corps à corps</t>
  </si>
  <si>
    <t>Brise nuque</t>
  </si>
  <si>
    <t>Sniper</t>
  </si>
  <si>
    <t>Camion</t>
  </si>
  <si>
    <t>Coup de tête</t>
  </si>
  <si>
    <t>Secourisme</t>
  </si>
  <si>
    <t>Bateaux</t>
  </si>
  <si>
    <t>Pds</t>
  </si>
  <si>
    <t>PL</t>
  </si>
  <si>
    <t>Place &amp; Poids</t>
  </si>
  <si>
    <t>Tranchante</t>
  </si>
  <si>
    <t>Réparation</t>
  </si>
  <si>
    <t>Avions</t>
  </si>
  <si>
    <t>Uppercut</t>
  </si>
  <si>
    <t>Sexe</t>
  </si>
  <si>
    <t>Armures lourdes</t>
  </si>
  <si>
    <t>Crochet</t>
  </si>
  <si>
    <t>Réconfort</t>
  </si>
  <si>
    <t>Revers</t>
  </si>
  <si>
    <t>Serrures mécaniques</t>
  </si>
  <si>
    <t>PA</t>
  </si>
  <si>
    <t>Dégâts</t>
  </si>
  <si>
    <t>Coups spéciaux</t>
  </si>
  <si>
    <t>Serrures électroniques</t>
  </si>
  <si>
    <t>Armes lourdes</t>
  </si>
  <si>
    <t>Spé. Par nivaux</t>
  </si>
  <si>
    <t>Pièges mécaniques</t>
  </si>
  <si>
    <t>Projectiles</t>
  </si>
  <si>
    <t>Points Comp.</t>
  </si>
  <si>
    <t>Pièges chimiques</t>
  </si>
  <si>
    <t>Armes blanches</t>
  </si>
  <si>
    <t>Santé</t>
  </si>
  <si>
    <t>Ouie</t>
  </si>
  <si>
    <t>Armes à feu</t>
  </si>
  <si>
    <t>Gain par niveau</t>
  </si>
  <si>
    <t>Odorat</t>
  </si>
  <si>
    <t>Armes à deux mains</t>
  </si>
  <si>
    <t>Restant</t>
  </si>
  <si>
    <t>Natation</t>
  </si>
  <si>
    <t>Armes à énergie</t>
  </si>
  <si>
    <t>Spécialisation</t>
  </si>
  <si>
    <t>Points de comp.</t>
  </si>
  <si>
    <t>Motos</t>
  </si>
  <si>
    <t>Acrobatie</t>
  </si>
  <si>
    <t>Bonus</t>
  </si>
  <si>
    <t>Rangs</t>
  </si>
  <si>
    <t>Connaissances</t>
  </si>
  <si>
    <t>XP</t>
  </si>
  <si>
    <t>Qualité</t>
  </si>
  <si>
    <t>Niveau</t>
  </si>
  <si>
    <t>Avancement</t>
  </si>
  <si>
    <t>TotalLa lettre C indique un malus lors du port du casque, A lors du port de l'armrue.</t>
  </si>
  <si>
    <t>Vol (A)</t>
  </si>
  <si>
    <t>N/A</t>
  </si>
  <si>
    <t>Mort</t>
  </si>
  <si>
    <t>Commerce</t>
  </si>
  <si>
    <t>Inconscient</t>
  </si>
  <si>
    <t>Survie [C]</t>
  </si>
  <si>
    <t>Epuisé</t>
  </si>
  <si>
    <t>Jeu (A)</t>
  </si>
  <si>
    <t>Essoufflé</t>
  </si>
  <si>
    <t>Pilotage (AC)</t>
  </si>
  <si>
    <t>Normal</t>
  </si>
  <si>
    <t>Réflexion</t>
  </si>
  <si>
    <t>Radiation</t>
  </si>
  <si>
    <t>Discours</t>
  </si>
  <si>
    <t>Poison</t>
  </si>
  <si>
    <t>Discrétion (AC)</t>
  </si>
  <si>
    <t>Pièges (AC)</t>
  </si>
  <si>
    <t>Santé Total</t>
  </si>
  <si>
    <t>Soins (AC)</t>
  </si>
  <si>
    <t>Rés. au radiations</t>
  </si>
  <si>
    <t>Manipulation (A)</t>
  </si>
  <si>
    <t>Rés. aux poisons</t>
  </si>
  <si>
    <t>Perception (C)</t>
  </si>
  <si>
    <t>Portée</t>
  </si>
  <si>
    <t>Physique (A)</t>
  </si>
  <si>
    <t>Points d'actions</t>
  </si>
  <si>
    <t>Lancer (A)</t>
  </si>
  <si>
    <t>Force morale</t>
  </si>
  <si>
    <t>Dégâts de mêlée</t>
  </si>
  <si>
    <t>Corps à Corps</t>
  </si>
  <si>
    <t>Classe d'armure</t>
  </si>
  <si>
    <t>Armes Lourdes</t>
  </si>
  <si>
    <t>Chance critique Tir</t>
  </si>
  <si>
    <t>Armes Légères/Moyennes</t>
  </si>
  <si>
    <t>Chance Critique</t>
  </si>
  <si>
    <t>Mod temp</t>
  </si>
  <si>
    <t>+/-</t>
  </si>
  <si>
    <t>Métier</t>
  </si>
  <si>
    <t>Base</t>
  </si>
  <si>
    <t>Compétences</t>
  </si>
  <si>
    <t>Actuel</t>
  </si>
  <si>
    <t>Gains</t>
  </si>
  <si>
    <t>Attributs Secondaires</t>
  </si>
  <si>
    <t>Chance (CH)</t>
  </si>
  <si>
    <t>Agilité (AG)</t>
  </si>
  <si>
    <t>Intelligence (INT)</t>
  </si>
  <si>
    <t>Charisme (CHa)</t>
  </si>
  <si>
    <t>Endurance (EN)</t>
  </si>
  <si>
    <t>Perception (PE)</t>
  </si>
  <si>
    <t>Force (FO)</t>
  </si>
  <si>
    <t>Attributs Primaires</t>
  </si>
  <si>
    <t>Cheveux</t>
  </si>
  <si>
    <t>Taille</t>
  </si>
  <si>
    <t>Peau</t>
  </si>
  <si>
    <t>Yeux</t>
  </si>
  <si>
    <t>Description</t>
  </si>
  <si>
    <t>Age</t>
  </si>
  <si>
    <t>Karma</t>
  </si>
  <si>
    <t>Dextrie</t>
  </si>
  <si>
    <t>Race</t>
  </si>
  <si>
    <t>Joueur</t>
  </si>
  <si>
    <t>Perception</t>
  </si>
  <si>
    <t>Agilité</t>
  </si>
  <si>
    <t>Connaissance</t>
  </si>
  <si>
    <t>Portée (Tb. 1.9)</t>
  </si>
  <si>
    <t>Points d'actions (Tb. 1.8)</t>
  </si>
  <si>
    <t>Totaux</t>
  </si>
  <si>
    <t>Caractéristique (Et place)</t>
  </si>
  <si>
    <t>Place +</t>
  </si>
  <si>
    <t>Torse/Complet :</t>
  </si>
  <si>
    <t>Temp</t>
  </si>
  <si>
    <t>Bras :</t>
  </si>
  <si>
    <t>Seuil</t>
  </si>
  <si>
    <t>Malus</t>
  </si>
  <si>
    <t>IEM</t>
  </si>
  <si>
    <t>Sac à dos, malette :</t>
  </si>
  <si>
    <t>Place :</t>
  </si>
  <si>
    <t>Ceinture</t>
  </si>
  <si>
    <t>Holster</t>
  </si>
  <si>
    <t>Arme :</t>
  </si>
  <si>
    <t>Type(s) :</t>
  </si>
  <si>
    <t>Dégats :</t>
  </si>
  <si>
    <t>A = Autres</t>
  </si>
  <si>
    <t>Munition :</t>
  </si>
  <si>
    <t>Chargeur :</t>
  </si>
  <si>
    <t>Portée :</t>
  </si>
  <si>
    <t>MPC :</t>
  </si>
  <si>
    <t>PA :</t>
  </si>
  <si>
    <t>Argent :</t>
  </si>
  <si>
    <t>Capsules :</t>
  </si>
  <si>
    <t>Pré Guerre :</t>
  </si>
  <si>
    <t>Total :</t>
  </si>
  <si>
    <t>Autre :</t>
  </si>
  <si>
    <t>Montant :</t>
  </si>
  <si>
    <t>Actuel :</t>
  </si>
  <si>
    <t>Tenue Robco</t>
  </si>
  <si>
    <t>Cigarette (Paquet)</t>
  </si>
  <si>
    <t>Cigarette (Cartouche)</t>
  </si>
  <si>
    <t>5…50</t>
  </si>
  <si>
    <t>25…250</t>
  </si>
  <si>
    <t>Nbre</t>
  </si>
  <si>
    <t>FEU</t>
  </si>
  <si>
    <t>EXP</t>
  </si>
  <si>
    <t>LASER</t>
  </si>
  <si>
    <t>NORM</t>
  </si>
  <si>
    <t>PLA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</si>
</sst>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_ &quot;Caps&quot;"/>
    <numFmt numFmtId="165" formatCode="0_ &quot;Kg&quot;"/>
    <numFmt numFmtId="166" formatCode="_-* #,##0.00\ &quot;F&quot;_-;\-* #,##0.00\ &quot;F&quot;_-;_-* &quot;-&quot;??\ &quot;F&quot;_-;_-@_-"/>
    <numFmt numFmtId="167" formatCode="0_ &quot;m&quot;"/>
  </numFmts>
  <fonts count="27">
    <font>
      <sz val="11"/>
      <color theme="1"/>
      <name val="Calibri"/>
      <family val="2"/>
      <scheme val="minor"/>
    </font>
    <font>
      <sz val="12"/>
      <color theme="1"/>
      <name val="Franklin Gothic Medium"/>
      <family val="2"/>
    </font>
    <font>
      <sz val="12"/>
      <color theme="1"/>
      <name val="Franklin Gothic Medium"/>
      <family val="2"/>
    </font>
    <font>
      <sz val="12"/>
      <color theme="1"/>
      <name val="Franklin Gothic Medium"/>
      <family val="2"/>
    </font>
    <font>
      <sz val="12"/>
      <color theme="1"/>
      <name val="Franklin Gothic Medium"/>
      <family val="2"/>
    </font>
    <font>
      <u/>
      <sz val="11"/>
      <color theme="1"/>
      <name val="Calibri"/>
      <family val="2"/>
      <scheme val="minor"/>
    </font>
    <font>
      <b/>
      <u/>
      <sz val="14"/>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1"/>
      <color theme="0"/>
      <name val="Calibri"/>
      <family val="2"/>
      <scheme val="minor"/>
    </font>
    <font>
      <b/>
      <sz val="11"/>
      <color theme="1" tint="4.9989318521683403E-2"/>
      <name val="Calibri"/>
      <family val="2"/>
      <scheme val="minor"/>
    </font>
    <font>
      <b/>
      <u/>
      <sz val="11"/>
      <color theme="1" tint="4.9989318521683403E-2"/>
      <name val="Calibri"/>
      <family val="2"/>
      <scheme val="minor"/>
    </font>
    <font>
      <sz val="12"/>
      <color theme="1" tint="4.9989318521683403E-2"/>
      <name val="Calibri"/>
      <family val="2"/>
      <scheme val="minor"/>
    </font>
    <font>
      <sz val="11"/>
      <name val="Arial"/>
      <family val="2"/>
    </font>
    <font>
      <sz val="10"/>
      <name val="Gothic821 Cn BT"/>
      <family val="2"/>
    </font>
    <font>
      <sz val="10"/>
      <color indexed="57"/>
      <name val="Gothic821 Cn BT"/>
      <family val="2"/>
    </font>
    <font>
      <sz val="8"/>
      <name val="Gothic821 Cn BT"/>
      <family val="2"/>
    </font>
    <font>
      <sz val="10"/>
      <color indexed="9"/>
      <name val="Gothic821 Cn BT"/>
      <family val="2"/>
    </font>
    <font>
      <sz val="10"/>
      <name val="Arial"/>
      <family val="2"/>
    </font>
    <font>
      <sz val="10"/>
      <color indexed="16"/>
      <name val="Gothic821 Cn BT"/>
      <family val="2"/>
    </font>
    <font>
      <sz val="10"/>
      <color indexed="11"/>
      <name val="Gothic821 Cn BT"/>
      <family val="2"/>
    </font>
    <font>
      <b/>
      <sz val="8"/>
      <color indexed="81"/>
      <name val="Tahoma"/>
      <family val="2"/>
    </font>
    <font>
      <b/>
      <u/>
      <sz val="12"/>
      <color theme="1"/>
      <name val="Calibri"/>
      <family val="2"/>
      <scheme val="minor"/>
    </font>
    <font>
      <u/>
      <sz val="12"/>
      <name val="Franklin Gothic Medium"/>
      <family val="2"/>
    </font>
    <font>
      <sz val="12"/>
      <name val="Franklin Gothic Medium"/>
      <family val="2"/>
    </font>
  </fonts>
  <fills count="48">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rgb="FF00B0F0"/>
        <bgColor indexed="64"/>
      </patternFill>
    </fill>
    <fill>
      <patternFill patternType="solid">
        <fgColor theme="7" tint="0.59999389629810485"/>
        <bgColor indexed="64"/>
      </patternFill>
    </fill>
    <fill>
      <patternFill patternType="solid">
        <fgColor theme="5"/>
        <bgColor indexed="64"/>
      </patternFill>
    </fill>
    <fill>
      <patternFill patternType="solid">
        <fgColor theme="6"/>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9"/>
        <bgColor indexed="64"/>
      </patternFill>
    </fill>
    <fill>
      <patternFill patternType="solid">
        <fgColor theme="9" tint="-0.249977111117893"/>
        <bgColor indexed="64"/>
      </patternFill>
    </fill>
    <fill>
      <patternFill patternType="solid">
        <fgColor indexed="9"/>
        <bgColor indexed="64"/>
      </patternFill>
    </fill>
    <fill>
      <patternFill patternType="solid">
        <fgColor indexed="9"/>
        <bgColor indexed="27"/>
      </patternFill>
    </fill>
    <fill>
      <patternFill patternType="solid">
        <fgColor indexed="63"/>
        <bgColor indexed="64"/>
      </patternFill>
    </fill>
    <fill>
      <patternFill patternType="solid">
        <fgColor indexed="46"/>
        <bgColor indexed="27"/>
      </patternFill>
    </fill>
    <fill>
      <patternFill patternType="solid">
        <fgColor indexed="44"/>
        <bgColor indexed="27"/>
      </patternFill>
    </fill>
    <fill>
      <patternFill patternType="solid">
        <fgColor indexed="44"/>
        <bgColor indexed="64"/>
      </patternFill>
    </fill>
    <fill>
      <patternFill patternType="solid">
        <fgColor indexed="46"/>
        <bgColor indexed="64"/>
      </patternFill>
    </fill>
    <fill>
      <patternFill patternType="solid">
        <fgColor indexed="59"/>
        <bgColor indexed="64"/>
      </patternFill>
    </fill>
    <fill>
      <patternFill patternType="solid">
        <fgColor indexed="55"/>
        <bgColor indexed="64"/>
      </patternFill>
    </fill>
    <fill>
      <patternFill patternType="solid">
        <fgColor indexed="23"/>
        <bgColor indexed="64"/>
      </patternFill>
    </fill>
    <fill>
      <patternFill patternType="solid">
        <fgColor rgb="FFFFFFCC"/>
      </patternFill>
    </fill>
    <fill>
      <patternFill patternType="solid">
        <fgColor theme="1"/>
        <bgColor indexed="64"/>
      </patternFill>
    </fill>
    <fill>
      <patternFill patternType="solid">
        <fgColor theme="4" tint="-0.249977111117893"/>
        <bgColor indexed="64"/>
      </patternFill>
    </fill>
  </fills>
  <borders count="62">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theme="4" tint="0.39997558519241921"/>
      </top>
      <bottom/>
      <diagonal/>
    </border>
    <border>
      <left style="medium">
        <color indexed="64"/>
      </left>
      <right style="medium">
        <color indexed="64"/>
      </right>
      <top style="thin">
        <color theme="4" tint="0.39997558519241921"/>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rgb="FFB2B2B2"/>
      </top>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7">
    <xf numFmtId="0" fontId="0" fillId="0" borderId="0"/>
    <xf numFmtId="43" fontId="7" fillId="0" borderId="0" applyFont="0" applyFill="0" applyBorder="0" applyAlignment="0" applyProtection="0"/>
    <xf numFmtId="0" fontId="15" fillId="0" borderId="0"/>
    <xf numFmtId="9" fontId="20" fillId="0" borderId="0" applyFill="0" applyBorder="0" applyAlignment="0" applyProtection="0"/>
    <xf numFmtId="166" fontId="15" fillId="0" borderId="0" applyFont="0" applyFill="0" applyBorder="0" applyAlignment="0" applyProtection="0"/>
    <xf numFmtId="0" fontId="20" fillId="0" borderId="0"/>
    <xf numFmtId="0" fontId="7" fillId="45" borderId="52" applyNumberFormat="0" applyFont="0" applyAlignment="0" applyProtection="0"/>
  </cellStyleXfs>
  <cellXfs count="675">
    <xf numFmtId="0" fontId="0" fillId="0" borderId="0" xfId="0"/>
    <xf numFmtId="43" fontId="0" fillId="5" borderId="0" xfId="1" applyFont="1" applyFill="1" applyBorder="1"/>
    <xf numFmtId="0" fontId="0" fillId="0" borderId="0" xfId="0" applyBorder="1"/>
    <xf numFmtId="0" fontId="0" fillId="0" borderId="0" xfId="0" applyFill="1" applyBorder="1"/>
    <xf numFmtId="0" fontId="0" fillId="0" borderId="0" xfId="0" applyFill="1" applyBorder="1" applyAlignment="1">
      <alignment horizontal="center"/>
    </xf>
    <xf numFmtId="43" fontId="0" fillId="0" borderId="0" xfId="1" applyFont="1" applyFill="1" applyBorder="1"/>
    <xf numFmtId="0" fontId="8" fillId="0" borderId="0" xfId="0" applyFont="1" applyBorder="1"/>
    <xf numFmtId="0" fontId="0" fillId="28" borderId="23" xfId="0" applyFont="1" applyFill="1" applyBorder="1"/>
    <xf numFmtId="0" fontId="0" fillId="0" borderId="0" xfId="0" applyNumberFormat="1"/>
    <xf numFmtId="0" fontId="0" fillId="0" borderId="0" xfId="0" applyNumberFormat="1" applyAlignment="1">
      <alignment horizontal="center"/>
    </xf>
    <xf numFmtId="0" fontId="0" fillId="0" borderId="0" xfId="0" applyNumberFormat="1" applyBorder="1"/>
    <xf numFmtId="0" fontId="0" fillId="25" borderId="5" xfId="0" applyNumberFormat="1" applyFont="1" applyFill="1" applyBorder="1"/>
    <xf numFmtId="0" fontId="0" fillId="19" borderId="0" xfId="0" applyNumberFormat="1" applyFill="1"/>
    <xf numFmtId="0" fontId="0" fillId="0" borderId="1" xfId="0" applyNumberFormat="1" applyBorder="1"/>
    <xf numFmtId="0" fontId="0" fillId="24" borderId="6" xfId="0" applyNumberFormat="1" applyFont="1" applyFill="1" applyBorder="1" applyAlignment="1">
      <alignment horizontal="center"/>
    </xf>
    <xf numFmtId="0" fontId="0" fillId="8" borderId="0" xfId="0" applyFill="1" applyBorder="1" applyAlignment="1">
      <alignment horizontal="center"/>
    </xf>
    <xf numFmtId="0" fontId="0" fillId="11" borderId="0" xfId="0" applyFill="1" applyBorder="1"/>
    <xf numFmtId="0" fontId="0" fillId="12" borderId="0" xfId="0" applyFill="1" applyBorder="1"/>
    <xf numFmtId="0" fontId="0" fillId="13" borderId="0" xfId="0" applyFill="1" applyBorder="1" applyAlignment="1">
      <alignment horizontal="center"/>
    </xf>
    <xf numFmtId="0" fontId="0" fillId="7" borderId="0" xfId="0" applyFill="1" applyBorder="1"/>
    <xf numFmtId="43" fontId="0" fillId="15" borderId="0" xfId="1" applyFont="1" applyFill="1" applyBorder="1"/>
    <xf numFmtId="43" fontId="0" fillId="16" borderId="0" xfId="1" applyFont="1" applyFill="1" applyBorder="1"/>
    <xf numFmtId="43" fontId="0" fillId="17" borderId="0" xfId="1" applyFont="1" applyFill="1" applyBorder="1"/>
    <xf numFmtId="43" fontId="0" fillId="18" borderId="0" xfId="1" applyFont="1" applyFill="1" applyBorder="1"/>
    <xf numFmtId="43" fontId="0" fillId="10" borderId="0" xfId="1" applyFont="1" applyFill="1" applyBorder="1"/>
    <xf numFmtId="43" fontId="0" fillId="11" borderId="0" xfId="1" applyFont="1" applyFill="1" applyBorder="1"/>
    <xf numFmtId="0" fontId="0" fillId="4" borderId="0" xfId="0" applyFill="1" applyBorder="1"/>
    <xf numFmtId="0" fontId="6" fillId="0" borderId="0" xfId="0" applyNumberFormat="1" applyFont="1" applyFill="1" applyBorder="1"/>
    <xf numFmtId="0" fontId="8" fillId="0" borderId="0" xfId="0" applyNumberFormat="1" applyFont="1" applyFill="1" applyBorder="1"/>
    <xf numFmtId="0" fontId="0" fillId="0" borderId="0" xfId="0" applyNumberFormat="1" applyFill="1" applyBorder="1"/>
    <xf numFmtId="0" fontId="10" fillId="0" borderId="0" xfId="0" applyNumberFormat="1" applyFont="1" applyFill="1" applyBorder="1" applyAlignment="1">
      <alignment horizontal="center"/>
    </xf>
    <xf numFmtId="0" fontId="0" fillId="0" borderId="0" xfId="0" applyNumberFormat="1" applyFill="1" applyBorder="1" applyAlignment="1">
      <alignment horizontal="center"/>
    </xf>
    <xf numFmtId="0" fontId="0" fillId="0" borderId="0" xfId="1" applyNumberFormat="1" applyFont="1" applyFill="1" applyBorder="1"/>
    <xf numFmtId="0" fontId="0" fillId="0" borderId="0" xfId="1" applyNumberFormat="1" applyFont="1" applyFill="1" applyBorder="1" applyAlignment="1">
      <alignment horizontal="right"/>
    </xf>
    <xf numFmtId="0" fontId="0" fillId="0" borderId="0" xfId="0" applyNumberFormat="1" applyFill="1" applyBorder="1" applyAlignment="1">
      <alignment horizontal="right"/>
    </xf>
    <xf numFmtId="0" fontId="5" fillId="0" borderId="0" xfId="0" applyNumberFormat="1" applyFont="1" applyFill="1" applyBorder="1"/>
    <xf numFmtId="0" fontId="0" fillId="0" borderId="0" xfId="0" applyNumberFormat="1" applyFont="1" applyFill="1" applyBorder="1"/>
    <xf numFmtId="0" fontId="0" fillId="23" borderId="23" xfId="0" applyNumberFormat="1" applyFont="1" applyFill="1" applyBorder="1"/>
    <xf numFmtId="0" fontId="0" fillId="23" borderId="39" xfId="0" applyNumberFormat="1" applyFont="1" applyFill="1" applyBorder="1"/>
    <xf numFmtId="0" fontId="0" fillId="23" borderId="34" xfId="0" applyNumberFormat="1" applyFont="1" applyFill="1" applyBorder="1"/>
    <xf numFmtId="0" fontId="14" fillId="21" borderId="19" xfId="0" applyNumberFormat="1" applyFont="1" applyFill="1" applyBorder="1"/>
    <xf numFmtId="0" fontId="14" fillId="21" borderId="20" xfId="0" applyNumberFormat="1" applyFont="1" applyFill="1" applyBorder="1"/>
    <xf numFmtId="0" fontId="14" fillId="21" borderId="22" xfId="0" applyNumberFormat="1" applyFont="1" applyFill="1" applyBorder="1"/>
    <xf numFmtId="0" fontId="14" fillId="21" borderId="17" xfId="0" applyNumberFormat="1" applyFont="1" applyFill="1" applyBorder="1"/>
    <xf numFmtId="0" fontId="0" fillId="15" borderId="7" xfId="0" applyFont="1" applyFill="1" applyBorder="1"/>
    <xf numFmtId="0" fontId="13" fillId="25" borderId="32" xfId="0" applyNumberFormat="1" applyFont="1" applyFill="1" applyBorder="1"/>
    <xf numFmtId="0" fontId="12" fillId="12" borderId="32" xfId="0" applyNumberFormat="1" applyFont="1" applyFill="1" applyBorder="1" applyAlignment="1">
      <alignment horizontal="center"/>
    </xf>
    <xf numFmtId="0" fontId="12" fillId="6" borderId="32" xfId="0" applyNumberFormat="1" applyFont="1" applyFill="1" applyBorder="1" applyAlignment="1">
      <alignment horizontal="center"/>
    </xf>
    <xf numFmtId="0" fontId="12" fillId="3" borderId="32" xfId="0" applyNumberFormat="1" applyFont="1" applyFill="1" applyBorder="1" applyAlignment="1">
      <alignment horizontal="center"/>
    </xf>
    <xf numFmtId="0" fontId="12" fillId="24" borderId="33" xfId="0" applyNumberFormat="1" applyFont="1" applyFill="1" applyBorder="1" applyAlignment="1">
      <alignment horizontal="center"/>
    </xf>
    <xf numFmtId="0" fontId="0" fillId="25" borderId="32" xfId="0" applyNumberFormat="1" applyFont="1" applyFill="1" applyBorder="1"/>
    <xf numFmtId="0" fontId="0" fillId="12" borderId="32" xfId="0" applyNumberFormat="1" applyFont="1" applyFill="1" applyBorder="1" applyAlignment="1">
      <alignment horizontal="center"/>
    </xf>
    <xf numFmtId="0" fontId="0" fillId="6" borderId="32" xfId="0" applyNumberFormat="1" applyFont="1" applyFill="1" applyBorder="1" applyAlignment="1">
      <alignment horizontal="center"/>
    </xf>
    <xf numFmtId="0" fontId="0" fillId="3" borderId="32" xfId="0" applyNumberFormat="1" applyFont="1" applyFill="1" applyBorder="1" applyAlignment="1">
      <alignment horizontal="center"/>
    </xf>
    <xf numFmtId="0" fontId="0" fillId="24" borderId="33" xfId="0" applyNumberFormat="1" applyFont="1" applyFill="1" applyBorder="1" applyAlignment="1">
      <alignment horizontal="center"/>
    </xf>
    <xf numFmtId="0" fontId="0" fillId="25" borderId="41" xfId="0" applyNumberFormat="1" applyFont="1" applyFill="1" applyBorder="1"/>
    <xf numFmtId="0" fontId="0" fillId="12" borderId="41" xfId="0" applyNumberFormat="1" applyFont="1" applyFill="1" applyBorder="1" applyAlignment="1">
      <alignment horizontal="center"/>
    </xf>
    <xf numFmtId="0" fontId="0" fillId="6" borderId="41" xfId="0" applyNumberFormat="1" applyFont="1" applyFill="1" applyBorder="1" applyAlignment="1">
      <alignment horizontal="center"/>
    </xf>
    <xf numFmtId="0" fontId="0" fillId="3" borderId="41" xfId="0" applyNumberFormat="1" applyFont="1" applyFill="1" applyBorder="1" applyAlignment="1">
      <alignment horizontal="center"/>
    </xf>
    <xf numFmtId="0" fontId="0" fillId="24" borderId="42" xfId="0" applyNumberFormat="1" applyFont="1" applyFill="1" applyBorder="1" applyAlignment="1">
      <alignment horizontal="center"/>
    </xf>
    <xf numFmtId="0" fontId="8" fillId="12" borderId="32" xfId="0" applyNumberFormat="1" applyFont="1" applyFill="1" applyBorder="1" applyAlignment="1">
      <alignment horizontal="center"/>
    </xf>
    <xf numFmtId="0" fontId="8" fillId="12" borderId="41" xfId="0" applyNumberFormat="1" applyFont="1" applyFill="1" applyBorder="1" applyAlignment="1">
      <alignment horizontal="center"/>
    </xf>
    <xf numFmtId="0" fontId="0" fillId="25" borderId="43" xfId="0" applyNumberFormat="1" applyFont="1" applyFill="1" applyBorder="1"/>
    <xf numFmtId="0" fontId="8" fillId="12" borderId="43" xfId="0" applyNumberFormat="1" applyFont="1" applyFill="1" applyBorder="1" applyAlignment="1">
      <alignment horizontal="center"/>
    </xf>
    <xf numFmtId="0" fontId="0" fillId="6" borderId="43" xfId="0" applyNumberFormat="1" applyFont="1" applyFill="1" applyBorder="1" applyAlignment="1">
      <alignment horizontal="center"/>
    </xf>
    <xf numFmtId="0" fontId="0" fillId="3" borderId="43" xfId="0" applyNumberFormat="1" applyFont="1" applyFill="1" applyBorder="1" applyAlignment="1">
      <alignment horizontal="center"/>
    </xf>
    <xf numFmtId="0" fontId="0" fillId="24" borderId="44" xfId="0" applyNumberFormat="1" applyFont="1" applyFill="1" applyBorder="1" applyAlignment="1">
      <alignment horizontal="center"/>
    </xf>
    <xf numFmtId="0" fontId="0" fillId="12" borderId="5" xfId="0" applyNumberFormat="1" applyFont="1" applyFill="1" applyBorder="1" applyAlignment="1">
      <alignment horizontal="center"/>
    </xf>
    <xf numFmtId="0" fontId="0" fillId="6" borderId="5" xfId="0" applyNumberFormat="1" applyFont="1" applyFill="1" applyBorder="1" applyAlignment="1">
      <alignment horizontal="center"/>
    </xf>
    <xf numFmtId="0" fontId="0" fillId="3" borderId="5" xfId="0" applyNumberFormat="1" applyFont="1" applyFill="1" applyBorder="1" applyAlignment="1">
      <alignment horizontal="center"/>
    </xf>
    <xf numFmtId="0" fontId="12" fillId="22" borderId="32" xfId="0" applyFont="1" applyFill="1" applyBorder="1"/>
    <xf numFmtId="0" fontId="12" fillId="13" borderId="45" xfId="0" applyFont="1" applyFill="1" applyBorder="1"/>
    <xf numFmtId="0" fontId="12" fillId="6" borderId="45" xfId="0" applyFont="1" applyFill="1" applyBorder="1"/>
    <xf numFmtId="0" fontId="12" fillId="16" borderId="45" xfId="0" applyFont="1" applyFill="1" applyBorder="1"/>
    <xf numFmtId="0" fontId="12" fillId="27" borderId="45" xfId="0" applyFont="1" applyFill="1" applyBorder="1"/>
    <xf numFmtId="0" fontId="12" fillId="12" borderId="45" xfId="0" applyFont="1" applyFill="1" applyBorder="1"/>
    <xf numFmtId="0" fontId="12" fillId="2" borderId="45" xfId="0" applyFont="1" applyFill="1" applyBorder="1"/>
    <xf numFmtId="0" fontId="12" fillId="21" borderId="45" xfId="0" applyFont="1" applyFill="1" applyBorder="1"/>
    <xf numFmtId="0" fontId="12" fillId="28" borderId="46" xfId="0" applyFont="1" applyFill="1" applyBorder="1"/>
    <xf numFmtId="0" fontId="0" fillId="22" borderId="32" xfId="0" applyFont="1" applyFill="1" applyBorder="1"/>
    <xf numFmtId="0" fontId="0" fillId="13" borderId="45" xfId="0" applyFont="1" applyFill="1" applyBorder="1"/>
    <xf numFmtId="0" fontId="0" fillId="16" borderId="45" xfId="0" applyFont="1" applyFill="1" applyBorder="1" applyAlignment="1">
      <alignment horizontal="right"/>
    </xf>
    <xf numFmtId="0" fontId="10" fillId="27" borderId="45" xfId="0" applyFont="1" applyFill="1" applyBorder="1"/>
    <xf numFmtId="0" fontId="0" fillId="12" borderId="45" xfId="0" applyFont="1" applyFill="1" applyBorder="1"/>
    <xf numFmtId="0" fontId="0" fillId="2" borderId="45" xfId="0" applyFont="1" applyFill="1" applyBorder="1"/>
    <xf numFmtId="0" fontId="0" fillId="21" borderId="45" xfId="0" applyFont="1" applyFill="1" applyBorder="1"/>
    <xf numFmtId="0" fontId="0" fillId="28" borderId="46" xfId="0" applyFont="1" applyFill="1" applyBorder="1"/>
    <xf numFmtId="0" fontId="0" fillId="22" borderId="41" xfId="0" applyFont="1" applyFill="1" applyBorder="1"/>
    <xf numFmtId="0" fontId="0" fillId="13" borderId="15" xfId="0" applyFont="1" applyFill="1" applyBorder="1"/>
    <xf numFmtId="0" fontId="0" fillId="6" borderId="15" xfId="0" applyFont="1" applyFill="1" applyBorder="1"/>
    <xf numFmtId="0" fontId="0" fillId="16" borderId="15" xfId="0" applyFont="1" applyFill="1" applyBorder="1" applyAlignment="1">
      <alignment horizontal="right"/>
    </xf>
    <xf numFmtId="0" fontId="10" fillId="27" borderId="15" xfId="0" applyFont="1" applyFill="1" applyBorder="1"/>
    <xf numFmtId="0" fontId="0" fillId="12" borderId="15" xfId="0" applyFont="1" applyFill="1" applyBorder="1"/>
    <xf numFmtId="0" fontId="0" fillId="2" borderId="15" xfId="0" applyFont="1" applyFill="1" applyBorder="1"/>
    <xf numFmtId="0" fontId="0" fillId="21" borderId="15" xfId="0" applyFont="1" applyFill="1" applyBorder="1"/>
    <xf numFmtId="0" fontId="0" fillId="28" borderId="39" xfId="0" applyFont="1" applyFill="1" applyBorder="1"/>
    <xf numFmtId="0" fontId="0" fillId="22" borderId="5" xfId="0" applyFont="1" applyFill="1" applyBorder="1"/>
    <xf numFmtId="0" fontId="0" fillId="13" borderId="36" xfId="0" applyFont="1" applyFill="1" applyBorder="1"/>
    <xf numFmtId="0" fontId="0" fillId="16" borderId="36" xfId="0" applyFont="1" applyFill="1" applyBorder="1" applyAlignment="1">
      <alignment horizontal="right"/>
    </xf>
    <xf numFmtId="0" fontId="10" fillId="27" borderId="36" xfId="0" applyFont="1" applyFill="1" applyBorder="1"/>
    <xf numFmtId="0" fontId="0" fillId="12" borderId="36" xfId="0" applyFont="1" applyFill="1" applyBorder="1"/>
    <xf numFmtId="0" fontId="0" fillId="2" borderId="36" xfId="0" applyFont="1" applyFill="1" applyBorder="1"/>
    <xf numFmtId="0" fontId="0" fillId="21" borderId="36" xfId="0" applyFont="1" applyFill="1" applyBorder="1"/>
    <xf numFmtId="0" fontId="12" fillId="20" borderId="15" xfId="0" applyFont="1" applyFill="1" applyBorder="1"/>
    <xf numFmtId="0" fontId="12" fillId="6" borderId="15" xfId="0" applyFont="1" applyFill="1" applyBorder="1"/>
    <xf numFmtId="0" fontId="12" fillId="3" borderId="15" xfId="0" applyFont="1" applyFill="1" applyBorder="1"/>
    <xf numFmtId="0" fontId="12" fillId="17" borderId="15" xfId="0" applyFont="1" applyFill="1" applyBorder="1"/>
    <xf numFmtId="0" fontId="12" fillId="13" borderId="15" xfId="0" applyFont="1" applyFill="1" applyBorder="1"/>
    <xf numFmtId="0" fontId="12" fillId="23" borderId="15" xfId="0" applyFont="1" applyFill="1" applyBorder="1"/>
    <xf numFmtId="0" fontId="12" fillId="12" borderId="15" xfId="0" applyFont="1" applyFill="1" applyBorder="1"/>
    <xf numFmtId="0" fontId="12" fillId="2" borderId="15" xfId="0" applyFont="1" applyFill="1" applyBorder="1"/>
    <xf numFmtId="0" fontId="12" fillId="21" borderId="15" xfId="0" applyFont="1" applyFill="1" applyBorder="1"/>
    <xf numFmtId="0" fontId="12" fillId="15" borderId="8" xfId="0" applyFont="1" applyFill="1" applyBorder="1"/>
    <xf numFmtId="0" fontId="0" fillId="22" borderId="15" xfId="0" applyFont="1" applyFill="1" applyBorder="1"/>
    <xf numFmtId="0" fontId="0" fillId="3" borderId="15" xfId="0" applyFont="1" applyFill="1" applyBorder="1"/>
    <xf numFmtId="0" fontId="0" fillId="17" borderId="15" xfId="0" applyFont="1" applyFill="1" applyBorder="1"/>
    <xf numFmtId="0" fontId="0" fillId="23" borderId="15" xfId="0" applyFont="1" applyFill="1" applyBorder="1"/>
    <xf numFmtId="0" fontId="0" fillId="15" borderId="8" xfId="0" applyFont="1" applyFill="1" applyBorder="1"/>
    <xf numFmtId="0" fontId="0" fillId="22" borderId="14" xfId="0" applyFont="1" applyFill="1" applyBorder="1"/>
    <xf numFmtId="0" fontId="0" fillId="6" borderId="14" xfId="0" applyFont="1" applyFill="1" applyBorder="1"/>
    <xf numFmtId="0" fontId="0" fillId="3" borderId="14" xfId="0" applyFont="1" applyFill="1" applyBorder="1"/>
    <xf numFmtId="0" fontId="0" fillId="17" borderId="14" xfId="0" applyFont="1" applyFill="1" applyBorder="1"/>
    <xf numFmtId="0" fontId="0" fillId="13" borderId="14" xfId="0" applyFont="1" applyFill="1" applyBorder="1"/>
    <xf numFmtId="0" fontId="0" fillId="23" borderId="14" xfId="0" applyFont="1" applyFill="1" applyBorder="1"/>
    <xf numFmtId="0" fontId="0" fillId="12" borderId="14" xfId="0" applyFont="1" applyFill="1" applyBorder="1"/>
    <xf numFmtId="0" fontId="0" fillId="2" borderId="14" xfId="0" applyFont="1" applyFill="1" applyBorder="1"/>
    <xf numFmtId="0" fontId="0" fillId="21" borderId="14" xfId="0" applyFont="1" applyFill="1" applyBorder="1"/>
    <xf numFmtId="0" fontId="11" fillId="17" borderId="45" xfId="1" applyNumberFormat="1" applyFont="1" applyFill="1" applyBorder="1"/>
    <xf numFmtId="0" fontId="10" fillId="30" borderId="15" xfId="0" applyNumberFormat="1" applyFont="1" applyFill="1" applyBorder="1" applyAlignment="1">
      <alignment horizontal="center"/>
    </xf>
    <xf numFmtId="0" fontId="0" fillId="32" borderId="15" xfId="0" applyNumberFormat="1" applyFont="1" applyFill="1" applyBorder="1" applyAlignment="1">
      <alignment horizontal="center"/>
    </xf>
    <xf numFmtId="0" fontId="0" fillId="12" borderId="15" xfId="1" applyNumberFormat="1" applyFont="1" applyFill="1" applyBorder="1"/>
    <xf numFmtId="0" fontId="0" fillId="31" borderId="15" xfId="1" applyNumberFormat="1" applyFont="1" applyFill="1" applyBorder="1"/>
    <xf numFmtId="0" fontId="0" fillId="33" borderId="15" xfId="1" applyNumberFormat="1" applyFont="1" applyFill="1" applyBorder="1" applyAlignment="1">
      <alignment horizontal="right"/>
    </xf>
    <xf numFmtId="0" fontId="0" fillId="34" borderId="15" xfId="0" applyNumberFormat="1" applyFont="1" applyFill="1" applyBorder="1" applyAlignment="1">
      <alignment horizontal="right"/>
    </xf>
    <xf numFmtId="0" fontId="0" fillId="17" borderId="15" xfId="1" applyNumberFormat="1" applyFont="1" applyFill="1" applyBorder="1"/>
    <xf numFmtId="0" fontId="0" fillId="29" borderId="15" xfId="1" applyNumberFormat="1" applyFont="1" applyFill="1" applyBorder="1"/>
    <xf numFmtId="0" fontId="0" fillId="13" borderId="15" xfId="1" applyNumberFormat="1" applyFont="1" applyFill="1" applyBorder="1"/>
    <xf numFmtId="0" fontId="0" fillId="14" borderId="32" xfId="0" applyNumberFormat="1" applyFont="1" applyFill="1" applyBorder="1"/>
    <xf numFmtId="0" fontId="10" fillId="30" borderId="45" xfId="0" applyNumberFormat="1" applyFont="1" applyFill="1" applyBorder="1" applyAlignment="1">
      <alignment horizontal="center"/>
    </xf>
    <xf numFmtId="0" fontId="0" fillId="32" borderId="45" xfId="0" applyNumberFormat="1" applyFont="1" applyFill="1" applyBorder="1" applyAlignment="1">
      <alignment horizontal="center"/>
    </xf>
    <xf numFmtId="0" fontId="0" fillId="12" borderId="45" xfId="1" applyNumberFormat="1" applyFont="1" applyFill="1" applyBorder="1"/>
    <xf numFmtId="0" fontId="0" fillId="31" borderId="45" xfId="1" applyNumberFormat="1" applyFont="1" applyFill="1" applyBorder="1"/>
    <xf numFmtId="0" fontId="0" fillId="33" borderId="45" xfId="1" applyNumberFormat="1" applyFont="1" applyFill="1" applyBorder="1" applyAlignment="1">
      <alignment horizontal="right"/>
    </xf>
    <xf numFmtId="0" fontId="0" fillId="34" borderId="45" xfId="0" applyNumberFormat="1" applyFont="1" applyFill="1" applyBorder="1" applyAlignment="1">
      <alignment horizontal="right"/>
    </xf>
    <xf numFmtId="0" fontId="0" fillId="17" borderId="45" xfId="1" applyNumberFormat="1" applyFont="1" applyFill="1" applyBorder="1"/>
    <xf numFmtId="0" fontId="0" fillId="29" borderId="45" xfId="1" applyNumberFormat="1" applyFont="1" applyFill="1" applyBorder="1"/>
    <xf numFmtId="0" fontId="0" fillId="13" borderId="45" xfId="1" applyNumberFormat="1" applyFont="1" applyFill="1" applyBorder="1"/>
    <xf numFmtId="0" fontId="0" fillId="23" borderId="46" xfId="0" applyNumberFormat="1" applyFont="1" applyFill="1" applyBorder="1"/>
    <xf numFmtId="0" fontId="0" fillId="14" borderId="41" xfId="0" applyNumberFormat="1" applyFont="1" applyFill="1" applyBorder="1"/>
    <xf numFmtId="0" fontId="0" fillId="31" borderId="15" xfId="1" applyNumberFormat="1" applyFont="1" applyFill="1" applyBorder="1" applyAlignment="1">
      <alignment horizontal="right"/>
    </xf>
    <xf numFmtId="0" fontId="0" fillId="14" borderId="41" xfId="0" applyNumberFormat="1" applyFont="1" applyFill="1" applyBorder="1" applyAlignment="1">
      <alignment horizontal="left"/>
    </xf>
    <xf numFmtId="0" fontId="0" fillId="14" borderId="5" xfId="0" applyNumberFormat="1" applyFont="1" applyFill="1" applyBorder="1"/>
    <xf numFmtId="0" fontId="10" fillId="30" borderId="36" xfId="0" applyNumberFormat="1" applyFont="1" applyFill="1" applyBorder="1" applyAlignment="1">
      <alignment horizontal="center"/>
    </xf>
    <xf numFmtId="0" fontId="0" fillId="32" borderId="36" xfId="0" applyNumberFormat="1" applyFont="1" applyFill="1" applyBorder="1" applyAlignment="1">
      <alignment horizontal="center"/>
    </xf>
    <xf numFmtId="0" fontId="0" fillId="13" borderId="36" xfId="0" applyNumberFormat="1" applyFont="1" applyFill="1" applyBorder="1" applyAlignment="1">
      <alignment horizontal="center"/>
    </xf>
    <xf numFmtId="0" fontId="20" fillId="0" borderId="0" xfId="5"/>
    <xf numFmtId="0" fontId="20" fillId="35" borderId="35" xfId="5" applyFill="1" applyBorder="1" applyAlignment="1">
      <alignment horizontal="center"/>
    </xf>
    <xf numFmtId="0" fontId="20" fillId="35" borderId="9" xfId="5" applyFill="1" applyBorder="1" applyAlignment="1">
      <alignment horizontal="center"/>
    </xf>
    <xf numFmtId="0" fontId="20" fillId="40" borderId="40" xfId="5" applyFill="1" applyBorder="1" applyAlignment="1">
      <alignment horizontal="center"/>
    </xf>
    <xf numFmtId="0" fontId="20" fillId="40" borderId="16" xfId="5" applyFill="1" applyBorder="1" applyAlignment="1">
      <alignment horizontal="center"/>
    </xf>
    <xf numFmtId="0" fontId="20" fillId="35" borderId="40" xfId="5" applyFill="1" applyBorder="1" applyAlignment="1">
      <alignment horizontal="center"/>
    </xf>
    <xf numFmtId="0" fontId="20" fillId="35" borderId="16" xfId="5" applyFill="1" applyBorder="1" applyAlignment="1">
      <alignment horizontal="center"/>
    </xf>
    <xf numFmtId="9" fontId="20" fillId="40" borderId="9" xfId="3" applyFill="1" applyBorder="1" applyAlignment="1">
      <alignment horizontal="center"/>
    </xf>
    <xf numFmtId="0" fontId="20" fillId="40" borderId="11" xfId="5" applyFill="1" applyBorder="1" applyAlignment="1">
      <alignment horizontal="center"/>
    </xf>
    <xf numFmtId="9" fontId="20" fillId="35" borderId="16" xfId="3" applyFill="1" applyBorder="1" applyAlignment="1">
      <alignment horizontal="center"/>
    </xf>
    <xf numFmtId="0" fontId="20" fillId="35" borderId="12" xfId="5" applyFill="1" applyBorder="1" applyAlignment="1">
      <alignment horizontal="center"/>
    </xf>
    <xf numFmtId="9" fontId="20" fillId="40" borderId="16" xfId="3" applyFill="1" applyBorder="1" applyAlignment="1">
      <alignment horizontal="center"/>
    </xf>
    <xf numFmtId="0" fontId="20" fillId="40" borderId="12" xfId="5" applyFill="1" applyBorder="1" applyAlignment="1">
      <alignment horizontal="center"/>
    </xf>
    <xf numFmtId="9" fontId="20" fillId="40" borderId="8" xfId="3" applyFill="1" applyBorder="1" applyAlignment="1">
      <alignment horizontal="center"/>
    </xf>
    <xf numFmtId="0" fontId="20" fillId="40" borderId="8" xfId="5" applyFill="1" applyBorder="1" applyAlignment="1">
      <alignment horizontal="center"/>
    </xf>
    <xf numFmtId="0" fontId="20" fillId="35" borderId="11" xfId="5" applyFill="1" applyBorder="1" applyAlignment="1">
      <alignment horizontal="center"/>
    </xf>
    <xf numFmtId="0" fontId="20" fillId="35" borderId="10" xfId="5" applyFill="1" applyBorder="1" applyAlignment="1">
      <alignment horizontal="center"/>
    </xf>
    <xf numFmtId="0" fontId="20" fillId="35" borderId="14" xfId="5" applyFill="1" applyBorder="1" applyAlignment="1">
      <alignment horizontal="center"/>
    </xf>
    <xf numFmtId="0" fontId="11" fillId="14" borderId="3" xfId="0" applyNumberFormat="1" applyFont="1" applyFill="1" applyBorder="1"/>
    <xf numFmtId="0" fontId="9" fillId="30" borderId="13" xfId="0" applyNumberFormat="1" applyFont="1" applyFill="1" applyBorder="1" applyAlignment="1">
      <alignment horizontal="center"/>
    </xf>
    <xf numFmtId="0" fontId="11" fillId="17" borderId="13" xfId="1" applyNumberFormat="1" applyFont="1" applyFill="1" applyBorder="1"/>
    <xf numFmtId="0" fontId="11" fillId="29" borderId="13" xfId="1" applyNumberFormat="1" applyFont="1" applyFill="1" applyBorder="1"/>
    <xf numFmtId="0" fontId="11" fillId="13" borderId="13" xfId="1" applyNumberFormat="1" applyFont="1" applyFill="1" applyBorder="1"/>
    <xf numFmtId="0" fontId="11" fillId="23" borderId="34" xfId="0" applyNumberFormat="1" applyFont="1" applyFill="1" applyBorder="1"/>
    <xf numFmtId="0" fontId="11" fillId="32" borderId="13" xfId="0" applyNumberFormat="1" applyFont="1" applyFill="1" applyBorder="1" applyAlignment="1">
      <alignment horizontal="center"/>
    </xf>
    <xf numFmtId="0" fontId="11" fillId="12" borderId="13" xfId="1" applyNumberFormat="1" applyFont="1" applyFill="1" applyBorder="1"/>
    <xf numFmtId="0" fontId="11" fillId="31" borderId="13" xfId="1" applyNumberFormat="1" applyFont="1" applyFill="1" applyBorder="1" applyAlignment="1">
      <alignment horizontal="center"/>
    </xf>
    <xf numFmtId="0" fontId="11" fillId="33" borderId="13" xfId="1" applyNumberFormat="1" applyFont="1" applyFill="1" applyBorder="1" applyAlignment="1">
      <alignment horizontal="right"/>
    </xf>
    <xf numFmtId="0" fontId="11" fillId="34" borderId="13" xfId="0" applyNumberFormat="1" applyFont="1" applyFill="1" applyBorder="1" applyAlignment="1">
      <alignment horizontal="right"/>
    </xf>
    <xf numFmtId="0" fontId="11" fillId="6" borderId="34" xfId="0" applyNumberFormat="1" applyFont="1" applyFill="1" applyBorder="1" applyAlignment="1">
      <alignment horizontal="right"/>
    </xf>
    <xf numFmtId="0" fontId="0" fillId="6" borderId="46" xfId="0" applyNumberFormat="1" applyFont="1" applyFill="1" applyBorder="1" applyAlignment="1">
      <alignment horizontal="right"/>
    </xf>
    <xf numFmtId="0" fontId="0" fillId="6" borderId="39" xfId="0" applyNumberFormat="1" applyFont="1" applyFill="1" applyBorder="1" applyAlignment="1">
      <alignment horizontal="right"/>
    </xf>
    <xf numFmtId="0" fontId="0" fillId="17" borderId="36" xfId="1" applyNumberFormat="1" applyFont="1" applyFill="1" applyBorder="1"/>
    <xf numFmtId="0" fontId="0" fillId="29" borderId="36" xfId="1" applyNumberFormat="1" applyFont="1" applyFill="1" applyBorder="1"/>
    <xf numFmtId="0" fontId="0" fillId="13" borderId="36" xfId="1" applyNumberFormat="1" applyFont="1" applyFill="1" applyBorder="1"/>
    <xf numFmtId="0" fontId="0" fillId="12" borderId="36" xfId="1" applyNumberFormat="1" applyFont="1" applyFill="1" applyBorder="1"/>
    <xf numFmtId="0" fontId="0" fillId="31" borderId="36" xfId="1" applyNumberFormat="1" applyFont="1" applyFill="1" applyBorder="1"/>
    <xf numFmtId="0" fontId="0" fillId="33" borderId="36" xfId="1" applyNumberFormat="1" applyFont="1" applyFill="1" applyBorder="1" applyAlignment="1">
      <alignment horizontal="right"/>
    </xf>
    <xf numFmtId="0" fontId="0" fillId="34" borderId="36" xfId="0" applyNumberFormat="1" applyFont="1" applyFill="1" applyBorder="1" applyAlignment="1">
      <alignment horizontal="right"/>
    </xf>
    <xf numFmtId="0" fontId="0" fillId="6" borderId="23" xfId="0" applyNumberFormat="1" applyFont="1" applyFill="1" applyBorder="1" applyAlignment="1">
      <alignment horizontal="right"/>
    </xf>
    <xf numFmtId="0" fontId="0" fillId="14" borderId="3" xfId="0" applyNumberFormat="1" applyFont="1" applyFill="1" applyBorder="1"/>
    <xf numFmtId="0" fontId="10" fillId="30" borderId="13" xfId="0" applyNumberFormat="1" applyFont="1" applyFill="1" applyBorder="1" applyAlignment="1">
      <alignment horizontal="center"/>
    </xf>
    <xf numFmtId="0" fontId="0" fillId="17" borderId="13" xfId="1" applyNumberFormat="1" applyFont="1" applyFill="1" applyBorder="1"/>
    <xf numFmtId="0" fontId="0" fillId="29" borderId="13" xfId="1" applyNumberFormat="1" applyFont="1" applyFill="1" applyBorder="1"/>
    <xf numFmtId="0" fontId="0" fillId="13" borderId="13" xfId="1" applyNumberFormat="1" applyFont="1" applyFill="1" applyBorder="1"/>
    <xf numFmtId="0" fontId="0" fillId="32" borderId="13" xfId="0" applyNumberFormat="1" applyFont="1" applyFill="1" applyBorder="1" applyAlignment="1">
      <alignment horizontal="center"/>
    </xf>
    <xf numFmtId="0" fontId="0" fillId="12" borderId="13" xfId="1" applyNumberFormat="1" applyFont="1" applyFill="1" applyBorder="1"/>
    <xf numFmtId="0" fontId="0" fillId="31" borderId="13" xfId="1" applyNumberFormat="1" applyFont="1" applyFill="1" applyBorder="1"/>
    <xf numFmtId="0" fontId="0" fillId="33" borderId="13" xfId="1" applyNumberFormat="1" applyFont="1" applyFill="1" applyBorder="1" applyAlignment="1">
      <alignment horizontal="right"/>
    </xf>
    <xf numFmtId="0" fontId="0" fillId="34" borderId="13" xfId="0" applyNumberFormat="1" applyFont="1" applyFill="1" applyBorder="1" applyAlignment="1">
      <alignment horizontal="right"/>
    </xf>
    <xf numFmtId="0" fontId="0" fillId="6" borderId="34" xfId="0" applyNumberFormat="1" applyFont="1" applyFill="1" applyBorder="1" applyAlignment="1">
      <alignment horizontal="right"/>
    </xf>
    <xf numFmtId="0" fontId="0" fillId="14" borderId="27" xfId="0" applyNumberFormat="1" applyFont="1" applyFill="1" applyBorder="1"/>
    <xf numFmtId="0" fontId="10" fillId="30" borderId="29" xfId="0" applyNumberFormat="1" applyFont="1" applyFill="1" applyBorder="1" applyAlignment="1">
      <alignment horizontal="center"/>
    </xf>
    <xf numFmtId="0" fontId="0" fillId="17" borderId="29" xfId="0" applyNumberFormat="1" applyFont="1" applyFill="1" applyBorder="1" applyAlignment="1">
      <alignment horizontal="center"/>
    </xf>
    <xf numFmtId="0" fontId="0" fillId="29" borderId="29" xfId="0" applyNumberFormat="1" applyFont="1" applyFill="1" applyBorder="1" applyAlignment="1">
      <alignment horizontal="center"/>
    </xf>
    <xf numFmtId="0" fontId="0" fillId="13" borderId="29" xfId="0" applyNumberFormat="1" applyFont="1" applyFill="1" applyBorder="1" applyAlignment="1">
      <alignment horizontal="center"/>
    </xf>
    <xf numFmtId="0" fontId="0" fillId="23" borderId="51" xfId="0" applyNumberFormat="1" applyFont="1" applyFill="1" applyBorder="1"/>
    <xf numFmtId="0" fontId="0" fillId="32" borderId="29" xfId="0" applyNumberFormat="1" applyFont="1" applyFill="1" applyBorder="1" applyAlignment="1">
      <alignment horizontal="center"/>
    </xf>
    <xf numFmtId="0" fontId="0" fillId="12" borderId="29" xfId="0" applyNumberFormat="1" applyFont="1" applyFill="1" applyBorder="1" applyAlignment="1">
      <alignment horizontal="center"/>
    </xf>
    <xf numFmtId="0" fontId="0" fillId="31" borderId="29" xfId="0" applyNumberFormat="1" applyFont="1" applyFill="1" applyBorder="1" applyAlignment="1">
      <alignment horizontal="center"/>
    </xf>
    <xf numFmtId="0" fontId="0" fillId="33" borderId="29" xfId="0" applyNumberFormat="1" applyFont="1" applyFill="1" applyBorder="1" applyAlignment="1">
      <alignment horizontal="center"/>
    </xf>
    <xf numFmtId="0" fontId="0" fillId="34" borderId="29" xfId="0" applyNumberFormat="1" applyFont="1" applyFill="1" applyBorder="1" applyAlignment="1">
      <alignment horizontal="center"/>
    </xf>
    <xf numFmtId="0" fontId="0" fillId="6" borderId="29" xfId="0" applyNumberFormat="1" applyFont="1" applyFill="1" applyBorder="1" applyAlignment="1">
      <alignment horizontal="center"/>
    </xf>
    <xf numFmtId="0" fontId="0" fillId="6" borderId="46" xfId="0" applyFont="1" applyFill="1" applyBorder="1"/>
    <xf numFmtId="0" fontId="0" fillId="6" borderId="39" xfId="0" applyFont="1" applyFill="1" applyBorder="1"/>
    <xf numFmtId="0" fontId="0" fillId="6" borderId="23" xfId="0" applyFont="1" applyFill="1" applyBorder="1"/>
    <xf numFmtId="0" fontId="11" fillId="9" borderId="32" xfId="0" applyNumberFormat="1" applyFont="1" applyFill="1" applyBorder="1"/>
    <xf numFmtId="0" fontId="11" fillId="8" borderId="45" xfId="0" applyNumberFormat="1" applyFont="1" applyFill="1" applyBorder="1" applyAlignment="1">
      <alignment horizontal="center"/>
    </xf>
    <xf numFmtId="0" fontId="11" fillId="18" borderId="45" xfId="1" applyNumberFormat="1" applyFont="1" applyFill="1" applyBorder="1"/>
    <xf numFmtId="0" fontId="11" fillId="10" borderId="45" xfId="1" applyNumberFormat="1" applyFont="1" applyFill="1" applyBorder="1"/>
    <xf numFmtId="0" fontId="11" fillId="11" borderId="46" xfId="1" applyNumberFormat="1" applyFont="1" applyFill="1" applyBorder="1"/>
    <xf numFmtId="0" fontId="11" fillId="11" borderId="45" xfId="0" applyNumberFormat="1" applyFont="1" applyFill="1" applyBorder="1"/>
    <xf numFmtId="0" fontId="11" fillId="12" borderId="45" xfId="0" applyNumberFormat="1" applyFont="1" applyFill="1" applyBorder="1"/>
    <xf numFmtId="0" fontId="11" fillId="13" borderId="45" xfId="0" applyNumberFormat="1" applyFont="1" applyFill="1" applyBorder="1" applyAlignment="1">
      <alignment horizontal="center"/>
    </xf>
    <xf numFmtId="0" fontId="11" fillId="7" borderId="45" xfId="0" applyNumberFormat="1" applyFont="1" applyFill="1" applyBorder="1"/>
    <xf numFmtId="0" fontId="11" fillId="15" borderId="45" xfId="1" applyNumberFormat="1" applyFont="1" applyFill="1" applyBorder="1"/>
    <xf numFmtId="0" fontId="11" fillId="16" borderId="45" xfId="1" applyNumberFormat="1" applyFont="1" applyFill="1" applyBorder="1"/>
    <xf numFmtId="0" fontId="11" fillId="5" borderId="45" xfId="1" applyNumberFormat="1" applyFont="1" applyFill="1" applyBorder="1"/>
    <xf numFmtId="0" fontId="11" fillId="6" borderId="45" xfId="0" applyNumberFormat="1" applyFont="1" applyFill="1" applyBorder="1"/>
    <xf numFmtId="0" fontId="0" fillId="4" borderId="32" xfId="0" applyNumberFormat="1" applyFont="1" applyFill="1" applyBorder="1"/>
    <xf numFmtId="0" fontId="0" fillId="8" borderId="45" xfId="0" applyNumberFormat="1" applyFont="1" applyFill="1" applyBorder="1" applyAlignment="1">
      <alignment horizontal="center"/>
    </xf>
    <xf numFmtId="0" fontId="0" fillId="18" borderId="45" xfId="1" applyNumberFormat="1" applyFont="1" applyFill="1" applyBorder="1"/>
    <xf numFmtId="0" fontId="0" fillId="10" borderId="45" xfId="1" applyNumberFormat="1" applyFont="1" applyFill="1" applyBorder="1"/>
    <xf numFmtId="0" fontId="0" fillId="11" borderId="46" xfId="1" applyNumberFormat="1" applyFont="1" applyFill="1" applyBorder="1" applyAlignment="1">
      <alignment horizontal="center"/>
    </xf>
    <xf numFmtId="0" fontId="0" fillId="11" borderId="45" xfId="0" applyNumberFormat="1" applyFont="1" applyFill="1" applyBorder="1"/>
    <xf numFmtId="0" fontId="0" fillId="12" borderId="45" xfId="0" applyNumberFormat="1" applyFont="1" applyFill="1" applyBorder="1"/>
    <xf numFmtId="0" fontId="0" fillId="13" borderId="45" xfId="0" applyNumberFormat="1" applyFont="1" applyFill="1" applyBorder="1" applyAlignment="1">
      <alignment horizontal="center"/>
    </xf>
    <xf numFmtId="0" fontId="0" fillId="7" borderId="45" xfId="1" applyNumberFormat="1" applyFont="1" applyFill="1" applyBorder="1"/>
    <xf numFmtId="0" fontId="0" fillId="15" borderId="45" xfId="1" applyNumberFormat="1" applyFont="1" applyFill="1" applyBorder="1"/>
    <xf numFmtId="0" fontId="0" fillId="16" borderId="45" xfId="1" applyNumberFormat="1" applyFont="1" applyFill="1" applyBorder="1"/>
    <xf numFmtId="0" fontId="0" fillId="5" borderId="45" xfId="1" applyNumberFormat="1" applyFont="1" applyFill="1" applyBorder="1"/>
    <xf numFmtId="0" fontId="0" fillId="6" borderId="46" xfId="0" applyNumberFormat="1" applyFont="1" applyFill="1" applyBorder="1"/>
    <xf numFmtId="0" fontId="0" fillId="4" borderId="41" xfId="0" applyNumberFormat="1" applyFont="1" applyFill="1" applyBorder="1"/>
    <xf numFmtId="0" fontId="0" fillId="8" borderId="15" xfId="0" applyNumberFormat="1" applyFont="1" applyFill="1" applyBorder="1" applyAlignment="1">
      <alignment horizontal="center"/>
    </xf>
    <xf numFmtId="0" fontId="0" fillId="18" borderId="15" xfId="1" applyNumberFormat="1" applyFont="1" applyFill="1" applyBorder="1"/>
    <xf numFmtId="0" fontId="0" fillId="10" borderId="15" xfId="1" applyNumberFormat="1" applyFont="1" applyFill="1" applyBorder="1"/>
    <xf numFmtId="0" fontId="0" fillId="11" borderId="39" xfId="1" applyNumberFormat="1" applyFont="1" applyFill="1" applyBorder="1"/>
    <xf numFmtId="0" fontId="0" fillId="11" borderId="15" xfId="0" applyNumberFormat="1" applyFont="1" applyFill="1" applyBorder="1"/>
    <xf numFmtId="0" fontId="0" fillId="12" borderId="15" xfId="0" applyNumberFormat="1" applyFont="1" applyFill="1" applyBorder="1"/>
    <xf numFmtId="0" fontId="0" fillId="13" borderId="15" xfId="0" applyNumberFormat="1" applyFont="1" applyFill="1" applyBorder="1" applyAlignment="1">
      <alignment horizontal="center"/>
    </xf>
    <xf numFmtId="0" fontId="0" fillId="7" borderId="15" xfId="1" applyNumberFormat="1" applyFont="1" applyFill="1" applyBorder="1"/>
    <xf numFmtId="0" fontId="0" fillId="15" borderId="15" xfId="1" applyNumberFormat="1" applyFont="1" applyFill="1" applyBorder="1"/>
    <xf numFmtId="0" fontId="0" fillId="16" borderId="15" xfId="1" applyNumberFormat="1" applyFont="1" applyFill="1" applyBorder="1"/>
    <xf numFmtId="0" fontId="0" fillId="5" borderId="15" xfId="1" applyNumberFormat="1" applyFont="1" applyFill="1" applyBorder="1"/>
    <xf numFmtId="0" fontId="0" fillId="6" borderId="39" xfId="0" applyNumberFormat="1" applyFont="1" applyFill="1" applyBorder="1"/>
    <xf numFmtId="0" fontId="0" fillId="4" borderId="5" xfId="0" applyNumberFormat="1" applyFont="1" applyFill="1" applyBorder="1"/>
    <xf numFmtId="0" fontId="0" fillId="8" borderId="36" xfId="0" applyNumberFormat="1" applyFont="1" applyFill="1" applyBorder="1" applyAlignment="1">
      <alignment horizontal="center"/>
    </xf>
    <xf numFmtId="0" fontId="0" fillId="18" borderId="36" xfId="1" applyNumberFormat="1" applyFont="1" applyFill="1" applyBorder="1"/>
    <xf numFmtId="0" fontId="0" fillId="10" borderId="36" xfId="1" applyNumberFormat="1" applyFont="1" applyFill="1" applyBorder="1"/>
    <xf numFmtId="0" fontId="0" fillId="11" borderId="23" xfId="1" applyNumberFormat="1" applyFont="1" applyFill="1" applyBorder="1"/>
    <xf numFmtId="0" fontId="0" fillId="11" borderId="36" xfId="0" applyNumberFormat="1" applyFont="1" applyFill="1" applyBorder="1"/>
    <xf numFmtId="0" fontId="0" fillId="12" borderId="36" xfId="0" applyNumberFormat="1" applyFont="1" applyFill="1" applyBorder="1"/>
    <xf numFmtId="0" fontId="0" fillId="7" borderId="36" xfId="1" applyNumberFormat="1" applyFont="1" applyFill="1" applyBorder="1"/>
    <xf numFmtId="0" fontId="0" fillId="15" borderId="36" xfId="1" applyNumberFormat="1" applyFont="1" applyFill="1" applyBorder="1"/>
    <xf numFmtId="0" fontId="0" fillId="16" borderId="36" xfId="1" applyNumberFormat="1" applyFont="1" applyFill="1" applyBorder="1"/>
    <xf numFmtId="0" fontId="0" fillId="5" borderId="36" xfId="1" applyNumberFormat="1" applyFont="1" applyFill="1" applyBorder="1"/>
    <xf numFmtId="0" fontId="0" fillId="6" borderId="23" xfId="0" applyNumberFormat="1" applyFont="1" applyFill="1" applyBorder="1"/>
    <xf numFmtId="0" fontId="0" fillId="11" borderId="46" xfId="1" applyNumberFormat="1" applyFont="1" applyFill="1" applyBorder="1"/>
    <xf numFmtId="0" fontId="0" fillId="7" borderId="36" xfId="0" applyNumberFormat="1" applyFont="1" applyFill="1" applyBorder="1"/>
    <xf numFmtId="0" fontId="8" fillId="12" borderId="5" xfId="0" applyNumberFormat="1" applyFont="1" applyFill="1" applyBorder="1" applyAlignment="1">
      <alignment horizontal="center"/>
    </xf>
    <xf numFmtId="0" fontId="24" fillId="0" borderId="0" xfId="0" applyNumberFormat="1" applyFont="1"/>
    <xf numFmtId="0" fontId="4" fillId="0" borderId="0" xfId="0" applyNumberFormat="1" applyFont="1"/>
    <xf numFmtId="0" fontId="14" fillId="21" borderId="36" xfId="0" applyNumberFormat="1" applyFont="1" applyFill="1" applyBorder="1" applyAlignment="1"/>
    <xf numFmtId="0" fontId="14" fillId="21" borderId="59" xfId="0" applyNumberFormat="1" applyFont="1" applyFill="1" applyBorder="1" applyAlignment="1"/>
    <xf numFmtId="0" fontId="16" fillId="35" borderId="0" xfId="2" applyFont="1" applyFill="1" applyBorder="1" applyAlignment="1" applyProtection="1">
      <alignment vertical="center"/>
    </xf>
    <xf numFmtId="0" fontId="16" fillId="36" borderId="0" xfId="2" applyFont="1" applyFill="1" applyBorder="1" applyAlignment="1" applyProtection="1">
      <alignment vertical="center"/>
    </xf>
    <xf numFmtId="0" fontId="16" fillId="0" borderId="0" xfId="2" applyFont="1" applyFill="1" applyBorder="1" applyAlignment="1" applyProtection="1">
      <alignment vertical="center"/>
    </xf>
    <xf numFmtId="0" fontId="21" fillId="36" borderId="0" xfId="2" applyFont="1" applyFill="1" applyBorder="1" applyAlignment="1" applyProtection="1">
      <alignment vertical="center"/>
    </xf>
    <xf numFmtId="0" fontId="16" fillId="35" borderId="12" xfId="2" applyFont="1" applyFill="1" applyBorder="1" applyAlignment="1" applyProtection="1">
      <alignment vertical="center"/>
    </xf>
    <xf numFmtId="0" fontId="16" fillId="35" borderId="40" xfId="2" applyFont="1" applyFill="1" applyBorder="1" applyAlignment="1" applyProtection="1">
      <alignment vertical="center"/>
    </xf>
    <xf numFmtId="0" fontId="17" fillId="35" borderId="0" xfId="2" applyFont="1" applyFill="1" applyBorder="1" applyAlignment="1" applyProtection="1">
      <alignment vertical="center"/>
    </xf>
    <xf numFmtId="0" fontId="16" fillId="36" borderId="12" xfId="2" applyFont="1" applyFill="1" applyBorder="1" applyAlignment="1" applyProtection="1">
      <alignment vertical="center"/>
    </xf>
    <xf numFmtId="0" fontId="16" fillId="35" borderId="11" xfId="2" applyFont="1" applyFill="1" applyBorder="1" applyAlignment="1" applyProtection="1">
      <alignment vertical="center"/>
    </xf>
    <xf numFmtId="0" fontId="16" fillId="35" borderId="1" xfId="2" applyFont="1" applyFill="1" applyBorder="1" applyAlignment="1" applyProtection="1">
      <alignment vertical="center"/>
    </xf>
    <xf numFmtId="0" fontId="16" fillId="35" borderId="24" xfId="2" applyFont="1" applyFill="1" applyBorder="1" applyAlignment="1" applyProtection="1">
      <alignment vertical="center"/>
    </xf>
    <xf numFmtId="1" fontId="16" fillId="35" borderId="0" xfId="2" applyNumberFormat="1" applyFont="1" applyFill="1" applyBorder="1" applyAlignment="1" applyProtection="1">
      <alignment vertical="center"/>
    </xf>
    <xf numFmtId="1" fontId="17" fillId="35" borderId="0" xfId="2" applyNumberFormat="1" applyFont="1" applyFill="1" applyBorder="1" applyAlignment="1" applyProtection="1">
      <alignment vertical="center"/>
    </xf>
    <xf numFmtId="1" fontId="17" fillId="35" borderId="40" xfId="2" applyNumberFormat="1" applyFont="1" applyFill="1" applyBorder="1" applyAlignment="1" applyProtection="1">
      <alignment vertical="center"/>
    </xf>
    <xf numFmtId="0" fontId="16" fillId="36" borderId="40" xfId="2" applyFont="1" applyFill="1" applyBorder="1" applyAlignment="1" applyProtection="1">
      <alignment vertical="center"/>
    </xf>
    <xf numFmtId="1" fontId="16" fillId="35" borderId="24" xfId="2" applyNumberFormat="1" applyFont="1" applyFill="1" applyBorder="1" applyAlignment="1" applyProtection="1">
      <alignment vertical="center"/>
    </xf>
    <xf numFmtId="0" fontId="16" fillId="35" borderId="38" xfId="2" applyFont="1" applyFill="1" applyBorder="1" applyAlignment="1" applyProtection="1">
      <alignment vertical="center"/>
    </xf>
    <xf numFmtId="0" fontId="16" fillId="35" borderId="0" xfId="2" applyFont="1" applyFill="1" applyBorder="1" applyAlignment="1" applyProtection="1">
      <alignment vertical="center" wrapText="1"/>
    </xf>
    <xf numFmtId="0" fontId="16" fillId="35" borderId="12" xfId="2" applyFont="1" applyFill="1" applyBorder="1" applyAlignment="1" applyProtection="1">
      <alignment horizontal="left" vertical="center"/>
    </xf>
    <xf numFmtId="0" fontId="16" fillId="35" borderId="0" xfId="2" applyFont="1" applyFill="1" applyBorder="1" applyAlignment="1" applyProtection="1">
      <alignment horizontal="left" vertical="center"/>
    </xf>
    <xf numFmtId="0" fontId="21" fillId="36" borderId="0" xfId="2" applyFont="1" applyFill="1" applyBorder="1" applyAlignment="1" applyProtection="1">
      <alignment horizontal="left" vertical="center"/>
    </xf>
    <xf numFmtId="0" fontId="21" fillId="36" borderId="40" xfId="2" applyFont="1" applyFill="1" applyBorder="1" applyAlignment="1" applyProtection="1">
      <alignment vertical="center"/>
    </xf>
    <xf numFmtId="0" fontId="21" fillId="36" borderId="2" xfId="2" applyFont="1" applyFill="1" applyBorder="1" applyAlignment="1" applyProtection="1">
      <alignment vertical="center"/>
    </xf>
    <xf numFmtId="0" fontId="21" fillId="36" borderId="1" xfId="2" applyFont="1" applyFill="1" applyBorder="1" applyAlignment="1" applyProtection="1">
      <alignment vertical="center"/>
    </xf>
    <xf numFmtId="0" fontId="21" fillId="36" borderId="35" xfId="2" applyFont="1" applyFill="1" applyBorder="1" applyAlignment="1" applyProtection="1">
      <alignment vertical="center"/>
    </xf>
    <xf numFmtId="0" fontId="16" fillId="35" borderId="12" xfId="2" applyFont="1" applyFill="1" applyBorder="1" applyAlignment="1" applyProtection="1">
      <alignment horizontal="center" vertical="center"/>
    </xf>
    <xf numFmtId="0" fontId="16" fillId="35" borderId="0" xfId="2" applyFont="1" applyFill="1" applyBorder="1" applyAlignment="1" applyProtection="1">
      <alignment horizontal="center" vertical="center"/>
    </xf>
    <xf numFmtId="0" fontId="16" fillId="35" borderId="40" xfId="2" applyFont="1" applyFill="1" applyBorder="1" applyAlignment="1" applyProtection="1">
      <alignment horizontal="center" vertical="center"/>
    </xf>
    <xf numFmtId="0" fontId="16" fillId="35" borderId="15" xfId="2" applyFont="1" applyFill="1" applyBorder="1" applyAlignment="1" applyProtection="1">
      <alignment vertical="center"/>
    </xf>
    <xf numFmtId="0" fontId="21" fillId="36" borderId="12" xfId="2" applyFont="1" applyFill="1" applyBorder="1" applyAlignment="1" applyProtection="1">
      <alignment horizontal="center" vertical="center"/>
    </xf>
    <xf numFmtId="0" fontId="21" fillId="36" borderId="0" xfId="2" applyFont="1" applyFill="1" applyBorder="1" applyAlignment="1" applyProtection="1">
      <alignment horizontal="center" vertical="center"/>
    </xf>
    <xf numFmtId="0" fontId="21" fillId="36" borderId="40" xfId="2" applyFont="1" applyFill="1" applyBorder="1" applyAlignment="1" applyProtection="1">
      <alignment horizontal="center" vertical="center"/>
    </xf>
    <xf numFmtId="0" fontId="16" fillId="36" borderId="0" xfId="2" applyFont="1" applyFill="1" applyBorder="1" applyAlignment="1" applyProtection="1">
      <alignment horizontal="left" vertical="center"/>
    </xf>
    <xf numFmtId="0" fontId="21" fillId="36" borderId="12" xfId="2" applyFont="1" applyFill="1" applyBorder="1" applyAlignment="1" applyProtection="1">
      <alignment horizontal="left" vertical="center"/>
    </xf>
    <xf numFmtId="0" fontId="16" fillId="36" borderId="12" xfId="2" applyFont="1" applyFill="1" applyBorder="1" applyAlignment="1" applyProtection="1">
      <alignment horizontal="left" vertical="center"/>
    </xf>
    <xf numFmtId="0" fontId="19" fillId="35" borderId="0" xfId="2" applyFont="1" applyFill="1" applyBorder="1" applyAlignment="1" applyProtection="1">
      <alignment vertical="center" textRotation="90"/>
    </xf>
    <xf numFmtId="0" fontId="17" fillId="35" borderId="40" xfId="2" applyFont="1" applyFill="1" applyBorder="1" applyAlignment="1" applyProtection="1">
      <alignment vertical="center"/>
    </xf>
    <xf numFmtId="1" fontId="17" fillId="35" borderId="35" xfId="2" applyNumberFormat="1" applyFont="1" applyFill="1" applyBorder="1" applyAlignment="1" applyProtection="1">
      <alignment vertical="center"/>
    </xf>
    <xf numFmtId="0" fontId="21" fillId="36" borderId="12" xfId="2" applyFont="1" applyFill="1" applyBorder="1" applyAlignment="1" applyProtection="1">
      <alignment vertical="center"/>
    </xf>
    <xf numFmtId="166" fontId="16" fillId="35" borderId="0" xfId="4" applyFont="1" applyFill="1" applyBorder="1" applyAlignment="1" applyProtection="1">
      <alignment vertical="center"/>
    </xf>
    <xf numFmtId="0" fontId="18" fillId="36" borderId="0" xfId="2" applyFont="1" applyFill="1" applyBorder="1" applyAlignment="1" applyProtection="1">
      <alignment vertical="center"/>
    </xf>
    <xf numFmtId="0" fontId="4" fillId="25" borderId="19" xfId="0" applyNumberFormat="1" applyFont="1" applyFill="1" applyBorder="1" applyProtection="1"/>
    <xf numFmtId="0" fontId="4" fillId="25" borderId="20" xfId="0" applyNumberFormat="1" applyFont="1" applyFill="1" applyBorder="1" applyProtection="1"/>
    <xf numFmtId="0" fontId="4" fillId="25" borderId="21" xfId="0" applyNumberFormat="1" applyFont="1" applyFill="1" applyBorder="1" applyProtection="1"/>
    <xf numFmtId="0" fontId="25" fillId="0" borderId="53" xfId="6" applyNumberFormat="1" applyFont="1" applyFill="1" applyBorder="1" applyAlignment="1" applyProtection="1"/>
    <xf numFmtId="0" fontId="26" fillId="22" borderId="19" xfId="6" applyNumberFormat="1" applyFont="1" applyFill="1" applyBorder="1" applyAlignment="1" applyProtection="1"/>
    <xf numFmtId="0" fontId="4" fillId="22" borderId="20" xfId="0" applyNumberFormat="1" applyFont="1" applyFill="1" applyBorder="1" applyProtection="1"/>
    <xf numFmtId="0" fontId="14" fillId="21" borderId="61" xfId="0" applyNumberFormat="1" applyFont="1" applyFill="1" applyBorder="1" applyProtection="1"/>
    <xf numFmtId="0" fontId="14" fillId="21" borderId="20" xfId="0" applyNumberFormat="1" applyFont="1" applyFill="1" applyBorder="1" applyProtection="1"/>
    <xf numFmtId="0" fontId="14" fillId="21" borderId="21" xfId="0" applyNumberFormat="1" applyFont="1" applyFill="1" applyBorder="1" applyAlignment="1" applyProtection="1"/>
    <xf numFmtId="0" fontId="4" fillId="0" borderId="0" xfId="0" applyNumberFormat="1" applyFont="1" applyProtection="1"/>
    <xf numFmtId="0" fontId="4" fillId="0" borderId="22" xfId="0" applyNumberFormat="1" applyFont="1" applyBorder="1" applyAlignment="1" applyProtection="1"/>
    <xf numFmtId="0" fontId="4" fillId="21" borderId="17" xfId="0" applyNumberFormat="1" applyFont="1" applyFill="1" applyBorder="1" applyProtection="1"/>
    <xf numFmtId="0" fontId="4" fillId="21" borderId="17" xfId="0" applyFont="1" applyFill="1" applyBorder="1" applyProtection="1"/>
    <xf numFmtId="0" fontId="4" fillId="21" borderId="23" xfId="0" applyNumberFormat="1" applyFont="1" applyFill="1" applyBorder="1" applyProtection="1"/>
    <xf numFmtId="0" fontId="25" fillId="0" borderId="0" xfId="6" applyNumberFormat="1" applyFont="1" applyFill="1" applyBorder="1" applyAlignment="1" applyProtection="1"/>
    <xf numFmtId="0" fontId="4" fillId="21" borderId="25" xfId="0" applyNumberFormat="1" applyFont="1" applyFill="1" applyBorder="1" applyProtection="1"/>
    <xf numFmtId="0" fontId="4" fillId="21" borderId="7" xfId="0" applyNumberFormat="1" applyFont="1" applyFill="1" applyBorder="1" applyProtection="1"/>
    <xf numFmtId="0" fontId="14" fillId="21" borderId="54" xfId="0" applyNumberFormat="1" applyFont="1" applyFill="1" applyBorder="1" applyProtection="1"/>
    <xf numFmtId="0" fontId="14" fillId="21" borderId="17" xfId="0" applyNumberFormat="1" applyFont="1" applyFill="1" applyBorder="1" applyProtection="1"/>
    <xf numFmtId="0" fontId="14" fillId="21" borderId="23" xfId="0" applyNumberFormat="1" applyFont="1" applyFill="1" applyBorder="1" applyAlignment="1" applyProtection="1"/>
    <xf numFmtId="0" fontId="4" fillId="25" borderId="19" xfId="0" applyNumberFormat="1" applyFont="1" applyFill="1" applyBorder="1" applyAlignment="1" applyProtection="1"/>
    <xf numFmtId="0" fontId="4" fillId="25" borderId="20" xfId="0" applyFont="1" applyFill="1" applyBorder="1" applyProtection="1"/>
    <xf numFmtId="0" fontId="26" fillId="3" borderId="25" xfId="6" applyNumberFormat="1" applyFont="1" applyFill="1" applyBorder="1" applyAlignment="1" applyProtection="1"/>
    <xf numFmtId="0" fontId="4" fillId="3" borderId="7" xfId="0" applyNumberFormat="1" applyFont="1" applyFill="1" applyBorder="1" applyProtection="1"/>
    <xf numFmtId="0" fontId="4" fillId="0" borderId="0" xfId="0" applyNumberFormat="1" applyFont="1" applyBorder="1" applyProtection="1"/>
    <xf numFmtId="0" fontId="4" fillId="0" borderId="56" xfId="0" applyNumberFormat="1" applyFont="1" applyBorder="1" applyAlignment="1" applyProtection="1"/>
    <xf numFmtId="0" fontId="4" fillId="21" borderId="8" xfId="0" applyNumberFormat="1" applyFont="1" applyFill="1" applyBorder="1" applyProtection="1"/>
    <xf numFmtId="0" fontId="4" fillId="21" borderId="8" xfId="0" applyFont="1" applyFill="1" applyBorder="1" applyProtection="1"/>
    <xf numFmtId="0" fontId="4" fillId="21" borderId="39" xfId="0" applyNumberFormat="1" applyFont="1" applyFill="1" applyBorder="1" applyProtection="1"/>
    <xf numFmtId="0" fontId="26" fillId="23" borderId="25" xfId="6" applyNumberFormat="1" applyFont="1" applyFill="1" applyBorder="1" applyAlignment="1" applyProtection="1"/>
    <xf numFmtId="0" fontId="4" fillId="23" borderId="7" xfId="0" applyNumberFormat="1" applyFont="1" applyFill="1" applyBorder="1" applyProtection="1"/>
    <xf numFmtId="0" fontId="4" fillId="31" borderId="25" xfId="0" applyNumberFormat="1" applyFont="1" applyFill="1" applyBorder="1" applyProtection="1"/>
    <xf numFmtId="0" fontId="4" fillId="31" borderId="7" xfId="0" applyNumberFormat="1" applyFont="1" applyFill="1" applyBorder="1" applyProtection="1"/>
    <xf numFmtId="0" fontId="4" fillId="0" borderId="0" xfId="0" applyNumberFormat="1" applyFont="1" applyBorder="1" applyAlignment="1" applyProtection="1"/>
    <xf numFmtId="0" fontId="26" fillId="28" borderId="25" xfId="6" applyNumberFormat="1" applyFont="1" applyFill="1" applyBorder="1" applyAlignment="1" applyProtection="1"/>
    <xf numFmtId="0" fontId="4" fillId="28" borderId="60" xfId="0" applyNumberFormat="1" applyFont="1" applyFill="1" applyBorder="1" applyProtection="1"/>
    <xf numFmtId="0" fontId="4" fillId="23" borderId="19" xfId="0" applyNumberFormat="1" applyFont="1" applyFill="1" applyBorder="1" applyProtection="1"/>
    <xf numFmtId="0" fontId="4" fillId="23" borderId="20" xfId="0" applyNumberFormat="1" applyFont="1" applyFill="1" applyBorder="1" applyProtection="1"/>
    <xf numFmtId="0" fontId="4" fillId="23" borderId="20" xfId="0" applyFont="1" applyFill="1" applyBorder="1" applyProtection="1"/>
    <xf numFmtId="0" fontId="4" fillId="23" borderId="21" xfId="0" applyNumberFormat="1" applyFont="1" applyFill="1" applyBorder="1" applyProtection="1"/>
    <xf numFmtId="0" fontId="26" fillId="18" borderId="25" xfId="6" applyNumberFormat="1" applyFont="1" applyFill="1" applyBorder="1" applyAlignment="1" applyProtection="1"/>
    <xf numFmtId="0" fontId="4" fillId="18" borderId="7" xfId="0" applyNumberFormat="1" applyFont="1" applyFill="1" applyBorder="1" applyProtection="1"/>
    <xf numFmtId="0" fontId="4" fillId="46" borderId="8" xfId="0" applyNumberFormat="1" applyFont="1" applyFill="1" applyBorder="1" applyProtection="1"/>
    <xf numFmtId="0" fontId="4" fillId="46" borderId="8" xfId="0" applyFont="1" applyFill="1" applyBorder="1" applyProtection="1"/>
    <xf numFmtId="0" fontId="4" fillId="46" borderId="39" xfId="0" applyNumberFormat="1" applyFont="1" applyFill="1" applyBorder="1" applyProtection="1"/>
    <xf numFmtId="0" fontId="4" fillId="17" borderId="25" xfId="0" applyNumberFormat="1" applyFont="1" applyFill="1" applyBorder="1" applyProtection="1"/>
    <xf numFmtId="0" fontId="4" fillId="17" borderId="7" xfId="0" applyNumberFormat="1" applyFont="1" applyFill="1" applyBorder="1" applyProtection="1"/>
    <xf numFmtId="0" fontId="26" fillId="8" borderId="22" xfId="6" applyNumberFormat="1" applyFont="1" applyFill="1" applyBorder="1" applyAlignment="1" applyProtection="1"/>
    <xf numFmtId="0" fontId="4" fillId="8" borderId="17" xfId="0" applyNumberFormat="1" applyFont="1" applyFill="1" applyBorder="1" applyProtection="1"/>
    <xf numFmtId="0" fontId="4" fillId="46" borderId="23" xfId="0" applyNumberFormat="1" applyFont="1" applyFill="1" applyBorder="1" applyProtection="1"/>
    <xf numFmtId="0" fontId="4" fillId="0" borderId="56" xfId="0" applyNumberFormat="1" applyFont="1" applyBorder="1" applyProtection="1"/>
    <xf numFmtId="0" fontId="26" fillId="0" borderId="0" xfId="6" applyNumberFormat="1" applyFont="1" applyFill="1" applyBorder="1" applyAlignment="1" applyProtection="1"/>
    <xf numFmtId="0" fontId="4" fillId="33" borderId="19" xfId="0" applyNumberFormat="1" applyFont="1" applyFill="1" applyBorder="1" applyProtection="1"/>
    <xf numFmtId="0" fontId="4" fillId="33" borderId="20" xfId="0" applyNumberFormat="1" applyFont="1" applyFill="1" applyBorder="1" applyProtection="1"/>
    <xf numFmtId="0" fontId="4" fillId="33" borderId="21" xfId="0" applyNumberFormat="1" applyFont="1" applyFill="1" applyBorder="1" applyProtection="1"/>
    <xf numFmtId="0" fontId="4" fillId="0" borderId="22" xfId="0" applyNumberFormat="1" applyFont="1" applyBorder="1" applyProtection="1"/>
    <xf numFmtId="0" fontId="4" fillId="46" borderId="17" xfId="0" applyNumberFormat="1" applyFont="1" applyFill="1" applyBorder="1" applyProtection="1"/>
    <xf numFmtId="0" fontId="4" fillId="46" borderId="17" xfId="0" applyFont="1" applyFill="1" applyBorder="1" applyProtection="1"/>
    <xf numFmtId="0" fontId="26" fillId="33" borderId="25" xfId="6" applyNumberFormat="1" applyFont="1" applyFill="1" applyBorder="1" applyAlignment="1" applyProtection="1"/>
    <xf numFmtId="0" fontId="4" fillId="0" borderId="7" xfId="0" applyNumberFormat="1" applyFont="1" applyBorder="1" applyProtection="1"/>
    <xf numFmtId="0" fontId="4" fillId="47" borderId="7" xfId="0" applyNumberFormat="1" applyFont="1" applyFill="1" applyBorder="1" applyProtection="1"/>
    <xf numFmtId="0" fontId="4" fillId="47" borderId="60" xfId="0" applyNumberFormat="1" applyFont="1" applyFill="1" applyBorder="1" applyProtection="1"/>
    <xf numFmtId="0" fontId="4" fillId="25" borderId="57" xfId="0" applyNumberFormat="1" applyFont="1" applyFill="1" applyBorder="1" applyProtection="1"/>
    <xf numFmtId="0" fontId="4" fillId="25" borderId="9" xfId="0" applyNumberFormat="1" applyFont="1" applyFill="1" applyBorder="1" applyProtection="1"/>
    <xf numFmtId="0" fontId="4" fillId="25" borderId="9" xfId="0" applyFont="1" applyFill="1" applyBorder="1" applyProtection="1"/>
    <xf numFmtId="0" fontId="4" fillId="25" borderId="58" xfId="0" applyNumberFormat="1" applyFont="1" applyFill="1" applyBorder="1" applyProtection="1"/>
    <xf numFmtId="0" fontId="26" fillId="33" borderId="22" xfId="6" applyNumberFormat="1" applyFont="1" applyFill="1" applyBorder="1" applyAlignment="1" applyProtection="1"/>
    <xf numFmtId="0" fontId="4" fillId="47" borderId="17" xfId="0" applyNumberFormat="1" applyFont="1" applyFill="1" applyBorder="1" applyProtection="1"/>
    <xf numFmtId="0" fontId="4" fillId="29" borderId="9" xfId="0" applyNumberFormat="1" applyFont="1" applyFill="1" applyBorder="1" applyProtection="1"/>
    <xf numFmtId="0" fontId="4" fillId="22" borderId="9" xfId="0" applyNumberFormat="1" applyFont="1" applyFill="1" applyBorder="1" applyProtection="1"/>
    <xf numFmtId="0" fontId="4" fillId="26" borderId="9" xfId="0" applyNumberFormat="1" applyFont="1" applyFill="1" applyBorder="1" applyProtection="1"/>
    <xf numFmtId="0" fontId="4" fillId="23" borderId="9" xfId="0" applyNumberFormat="1" applyFont="1" applyFill="1" applyBorder="1" applyProtection="1"/>
    <xf numFmtId="0" fontId="4" fillId="21" borderId="9" xfId="0" applyNumberFormat="1" applyFont="1" applyFill="1" applyBorder="1" applyProtection="1"/>
    <xf numFmtId="0" fontId="4" fillId="6" borderId="9" xfId="0" applyNumberFormat="1" applyFont="1" applyFill="1" applyBorder="1" applyProtection="1"/>
    <xf numFmtId="0" fontId="4" fillId="29" borderId="7" xfId="0" applyNumberFormat="1" applyFont="1" applyFill="1" applyBorder="1" applyProtection="1"/>
    <xf numFmtId="0" fontId="4" fillId="22" borderId="7" xfId="0" applyNumberFormat="1" applyFont="1" applyFill="1" applyBorder="1" applyProtection="1"/>
    <xf numFmtId="0" fontId="4" fillId="26" borderId="7" xfId="0" applyNumberFormat="1" applyFont="1" applyFill="1" applyBorder="1" applyProtection="1"/>
    <xf numFmtId="0" fontId="4" fillId="6" borderId="7" xfId="0" applyNumberFormat="1" applyFont="1" applyFill="1" applyBorder="1" applyProtection="1"/>
    <xf numFmtId="0" fontId="4" fillId="29" borderId="8" xfId="0" applyNumberFormat="1" applyFont="1" applyFill="1" applyBorder="1" applyProtection="1"/>
    <xf numFmtId="0" fontId="4" fillId="22" borderId="8" xfId="0" applyNumberFormat="1" applyFont="1" applyFill="1" applyBorder="1" applyProtection="1"/>
    <xf numFmtId="0" fontId="4" fillId="26" borderId="8" xfId="0" applyNumberFormat="1" applyFont="1" applyFill="1" applyBorder="1" applyProtection="1"/>
    <xf numFmtId="0" fontId="4" fillId="23" borderId="8" xfId="0" applyNumberFormat="1" applyFont="1" applyFill="1" applyBorder="1" applyProtection="1"/>
    <xf numFmtId="0" fontId="4" fillId="6" borderId="8" xfId="0" applyNumberFormat="1" applyFont="1" applyFill="1" applyBorder="1" applyProtection="1"/>
    <xf numFmtId="0" fontId="4" fillId="29" borderId="19" xfId="0" applyNumberFormat="1" applyFont="1" applyFill="1" applyBorder="1" applyProtection="1"/>
    <xf numFmtId="0" fontId="4" fillId="29" borderId="20" xfId="0" applyNumberFormat="1" applyFont="1" applyFill="1" applyBorder="1" applyProtection="1"/>
    <xf numFmtId="0" fontId="4" fillId="29" borderId="21" xfId="0" applyNumberFormat="1" applyFont="1" applyFill="1" applyBorder="1" applyProtection="1"/>
    <xf numFmtId="0" fontId="4" fillId="16" borderId="22" xfId="0" applyNumberFormat="1" applyFont="1" applyFill="1" applyBorder="1" applyProtection="1"/>
    <xf numFmtId="0" fontId="4" fillId="16" borderId="17" xfId="0" applyNumberFormat="1" applyFont="1" applyFill="1" applyBorder="1" applyProtection="1"/>
    <xf numFmtId="0" fontId="4" fillId="16" borderId="23" xfId="0" applyNumberFormat="1" applyFont="1" applyFill="1" applyBorder="1" applyProtection="1"/>
    <xf numFmtId="0" fontId="26" fillId="6" borderId="7" xfId="0" applyNumberFormat="1" applyFont="1" applyFill="1" applyBorder="1" applyProtection="1"/>
    <xf numFmtId="0" fontId="3" fillId="6" borderId="7" xfId="0" applyNumberFormat="1" applyFont="1" applyFill="1" applyBorder="1" applyProtection="1"/>
    <xf numFmtId="0" fontId="2" fillId="28" borderId="7" xfId="0" applyNumberFormat="1" applyFont="1" applyFill="1" applyBorder="1" applyProtection="1"/>
    <xf numFmtId="0" fontId="26" fillId="22" borderId="7" xfId="0" applyNumberFormat="1" applyFont="1" applyFill="1" applyBorder="1" applyProtection="1"/>
    <xf numFmtId="0" fontId="0" fillId="8" borderId="41" xfId="0" applyNumberFormat="1" applyFont="1" applyFill="1" applyBorder="1" applyAlignment="1">
      <alignment horizontal="center"/>
    </xf>
    <xf numFmtId="0" fontId="0" fillId="18" borderId="41" xfId="0" applyNumberFormat="1" applyFont="1" applyFill="1" applyBorder="1" applyAlignment="1">
      <alignment horizontal="right"/>
    </xf>
    <xf numFmtId="0" fontId="0" fillId="10" borderId="41" xfId="0" applyNumberFormat="1" applyFont="1" applyFill="1" applyBorder="1" applyAlignment="1">
      <alignment horizontal="right"/>
    </xf>
    <xf numFmtId="0" fontId="0" fillId="11" borderId="42" xfId="0" applyNumberFormat="1" applyFont="1" applyFill="1" applyBorder="1" applyAlignment="1">
      <alignment horizontal="right"/>
    </xf>
    <xf numFmtId="0" fontId="0" fillId="4" borderId="7" xfId="0" applyNumberFormat="1" applyFont="1" applyFill="1" applyBorder="1"/>
    <xf numFmtId="0" fontId="0" fillId="8" borderId="7" xfId="0" applyNumberFormat="1" applyFont="1" applyFill="1" applyBorder="1" applyAlignment="1">
      <alignment horizontal="center"/>
    </xf>
    <xf numFmtId="0" fontId="0" fillId="10" borderId="7" xfId="1" applyNumberFormat="1" applyFont="1" applyFill="1" applyBorder="1"/>
    <xf numFmtId="0" fontId="0" fillId="18" borderId="7" xfId="1" applyNumberFormat="1" applyFont="1" applyFill="1" applyBorder="1"/>
    <xf numFmtId="0" fontId="0" fillId="11" borderId="7" xfId="1" applyNumberFormat="1" applyFont="1" applyFill="1" applyBorder="1" applyAlignment="1">
      <alignment horizontal="center"/>
    </xf>
    <xf numFmtId="0" fontId="0" fillId="11" borderId="7" xfId="0" applyNumberFormat="1" applyFont="1" applyFill="1" applyBorder="1"/>
    <xf numFmtId="0" fontId="0" fillId="12" borderId="7" xfId="0" applyNumberFormat="1" applyFont="1" applyFill="1" applyBorder="1"/>
    <xf numFmtId="0" fontId="0" fillId="13" borderId="7" xfId="0" applyNumberFormat="1" applyFont="1" applyFill="1" applyBorder="1" applyAlignment="1">
      <alignment horizontal="center"/>
    </xf>
    <xf numFmtId="0" fontId="0" fillId="7" borderId="7" xfId="1" applyNumberFormat="1" applyFont="1" applyFill="1" applyBorder="1"/>
    <xf numFmtId="0" fontId="0" fillId="15" borderId="7" xfId="1" applyNumberFormat="1" applyFont="1" applyFill="1" applyBorder="1"/>
    <xf numFmtId="0" fontId="0" fillId="16" borderId="7" xfId="1" applyNumberFormat="1" applyFont="1" applyFill="1" applyBorder="1"/>
    <xf numFmtId="0" fontId="0" fillId="5" borderId="7" xfId="1" applyNumberFormat="1" applyFont="1" applyFill="1" applyBorder="1"/>
    <xf numFmtId="0" fontId="0" fillId="17" borderId="7" xfId="1" applyNumberFormat="1" applyFont="1" applyFill="1" applyBorder="1"/>
    <xf numFmtId="0" fontId="0" fillId="6" borderId="7" xfId="0" applyNumberFormat="1" applyFont="1" applyFill="1" applyBorder="1"/>
    <xf numFmtId="0" fontId="1" fillId="22" borderId="9" xfId="0" applyNumberFormat="1" applyFont="1" applyFill="1" applyBorder="1" applyProtection="1"/>
    <xf numFmtId="0" fontId="1" fillId="26" borderId="9" xfId="0" applyNumberFormat="1" applyFont="1" applyFill="1" applyBorder="1" applyProtection="1"/>
    <xf numFmtId="0" fontId="1" fillId="23" borderId="9" xfId="0" applyNumberFormat="1" applyFont="1" applyFill="1" applyBorder="1" applyProtection="1"/>
    <xf numFmtId="0" fontId="1" fillId="21" borderId="9" xfId="0" applyNumberFormat="1" applyFont="1" applyFill="1" applyBorder="1" applyProtection="1"/>
    <xf numFmtId="0" fontId="4" fillId="29" borderId="57" xfId="0" applyNumberFormat="1" applyFont="1" applyFill="1" applyBorder="1" applyProtection="1"/>
    <xf numFmtId="0" fontId="4" fillId="29" borderId="25" xfId="0" applyNumberFormat="1" applyFont="1" applyFill="1" applyBorder="1" applyProtection="1"/>
    <xf numFmtId="0" fontId="4" fillId="6" borderId="60" xfId="0" applyNumberFormat="1" applyFont="1" applyFill="1" applyBorder="1" applyProtection="1"/>
    <xf numFmtId="0" fontId="4" fillId="29" borderId="56" xfId="0" applyNumberFormat="1" applyFont="1" applyFill="1" applyBorder="1" applyProtection="1"/>
    <xf numFmtId="0" fontId="1" fillId="6" borderId="58" xfId="0" applyNumberFormat="1" applyFont="1" applyFill="1" applyBorder="1" applyProtection="1"/>
    <xf numFmtId="0" fontId="1" fillId="25" borderId="20" xfId="0" applyNumberFormat="1" applyFont="1" applyFill="1" applyBorder="1" applyProtection="1"/>
    <xf numFmtId="0" fontId="16" fillId="40" borderId="15" xfId="2" applyFont="1" applyFill="1" applyBorder="1" applyAlignment="1" applyProtection="1">
      <alignment horizontal="center" vertical="center"/>
    </xf>
    <xf numFmtId="0" fontId="16" fillId="40" borderId="24" xfId="2" applyFont="1" applyFill="1" applyBorder="1" applyAlignment="1" applyProtection="1">
      <alignment horizontal="center" vertical="center"/>
    </xf>
    <xf numFmtId="0" fontId="16" fillId="40" borderId="38" xfId="2" applyFont="1" applyFill="1" applyBorder="1" applyAlignment="1" applyProtection="1">
      <alignment horizontal="center" vertical="center"/>
    </xf>
    <xf numFmtId="0" fontId="16" fillId="40" borderId="12" xfId="2" applyFont="1" applyFill="1" applyBorder="1" applyAlignment="1" applyProtection="1">
      <alignment horizontal="center" vertical="center"/>
    </xf>
    <xf numFmtId="0" fontId="16" fillId="40" borderId="0" xfId="2" applyFont="1" applyFill="1" applyBorder="1" applyAlignment="1" applyProtection="1">
      <alignment horizontal="center" vertical="center"/>
    </xf>
    <xf numFmtId="0" fontId="16" fillId="40" borderId="40" xfId="2" applyFont="1" applyFill="1" applyBorder="1" applyAlignment="1" applyProtection="1">
      <alignment horizontal="center" vertical="center"/>
    </xf>
    <xf numFmtId="0" fontId="16" fillId="40" borderId="11" xfId="2" applyFont="1" applyFill="1" applyBorder="1" applyAlignment="1" applyProtection="1">
      <alignment horizontal="center" vertical="center"/>
    </xf>
    <xf numFmtId="0" fontId="16" fillId="40" borderId="1" xfId="2" applyFont="1" applyFill="1" applyBorder="1" applyAlignment="1" applyProtection="1">
      <alignment horizontal="center" vertical="center"/>
    </xf>
    <xf numFmtId="0" fontId="16" fillId="40" borderId="35" xfId="2" applyFont="1" applyFill="1" applyBorder="1" applyAlignment="1" applyProtection="1">
      <alignment horizontal="center" vertical="center"/>
    </xf>
    <xf numFmtId="10" fontId="16" fillId="40" borderId="12" xfId="2" applyNumberFormat="1" applyFont="1" applyFill="1" applyBorder="1" applyAlignment="1" applyProtection="1">
      <alignment horizontal="center" vertical="center"/>
    </xf>
    <xf numFmtId="10" fontId="16" fillId="40" borderId="0" xfId="2" applyNumberFormat="1" applyFont="1" applyFill="1" applyBorder="1" applyAlignment="1" applyProtection="1">
      <alignment horizontal="center" vertical="center"/>
    </xf>
    <xf numFmtId="10" fontId="16" fillId="40" borderId="40" xfId="2" applyNumberFormat="1" applyFont="1" applyFill="1" applyBorder="1" applyAlignment="1" applyProtection="1">
      <alignment horizontal="center" vertical="center"/>
    </xf>
    <xf numFmtId="10" fontId="16" fillId="39" borderId="12" xfId="2" applyNumberFormat="1" applyFont="1" applyFill="1" applyBorder="1" applyAlignment="1" applyProtection="1">
      <alignment horizontal="center" vertical="center"/>
    </xf>
    <xf numFmtId="10" fontId="16" fillId="39" borderId="0" xfId="2" applyNumberFormat="1" applyFont="1" applyFill="1" applyBorder="1" applyAlignment="1" applyProtection="1">
      <alignment horizontal="center" vertical="center"/>
    </xf>
    <xf numFmtId="10" fontId="16" fillId="39" borderId="40" xfId="2" applyNumberFormat="1" applyFont="1" applyFill="1" applyBorder="1" applyAlignment="1" applyProtection="1">
      <alignment horizontal="center" vertical="center"/>
    </xf>
    <xf numFmtId="0" fontId="16" fillId="35" borderId="24" xfId="2" applyFont="1" applyFill="1" applyBorder="1" applyAlignment="1" applyProtection="1">
      <alignment horizontal="center" vertical="center"/>
    </xf>
    <xf numFmtId="0" fontId="16" fillId="35" borderId="50" xfId="2" applyFont="1" applyFill="1" applyBorder="1" applyAlignment="1" applyProtection="1">
      <alignment horizontal="center" vertical="center"/>
    </xf>
    <xf numFmtId="0" fontId="16" fillId="35" borderId="1" xfId="2" applyFont="1" applyFill="1" applyBorder="1" applyAlignment="1" applyProtection="1">
      <alignment horizontal="center" vertical="center"/>
    </xf>
    <xf numFmtId="0" fontId="16" fillId="35" borderId="49" xfId="2" applyFont="1" applyFill="1" applyBorder="1" applyAlignment="1" applyProtection="1">
      <alignment horizontal="center" vertical="center"/>
    </xf>
    <xf numFmtId="10" fontId="16" fillId="40" borderId="28" xfId="2" applyNumberFormat="1" applyFont="1" applyFill="1" applyBorder="1" applyAlignment="1" applyProtection="1">
      <alignment horizontal="center" vertical="center"/>
    </xf>
    <xf numFmtId="10" fontId="16" fillId="41" borderId="12" xfId="2" applyNumberFormat="1" applyFont="1" applyFill="1" applyBorder="1" applyAlignment="1" applyProtection="1">
      <alignment horizontal="center" vertical="center"/>
    </xf>
    <xf numFmtId="10" fontId="16" fillId="41" borderId="0" xfId="2" applyNumberFormat="1" applyFont="1" applyFill="1" applyBorder="1" applyAlignment="1" applyProtection="1">
      <alignment horizontal="center" vertical="center"/>
    </xf>
    <xf numFmtId="10" fontId="16" fillId="41" borderId="40" xfId="2" applyNumberFormat="1" applyFont="1" applyFill="1" applyBorder="1" applyAlignment="1" applyProtection="1">
      <alignment horizontal="center" vertical="center"/>
    </xf>
    <xf numFmtId="0" fontId="16" fillId="35" borderId="15" xfId="2" applyFont="1" applyFill="1" applyBorder="1" applyAlignment="1" applyProtection="1">
      <alignment horizontal="center" vertical="center"/>
    </xf>
    <xf numFmtId="0" fontId="16" fillId="35" borderId="11" xfId="2" applyFont="1" applyFill="1" applyBorder="1" applyAlignment="1" applyProtection="1">
      <alignment horizontal="center" vertical="center"/>
    </xf>
    <xf numFmtId="9" fontId="16" fillId="35" borderId="32" xfId="3" applyFont="1" applyFill="1" applyBorder="1" applyAlignment="1" applyProtection="1">
      <alignment horizontal="center" vertical="center"/>
    </xf>
    <xf numFmtId="9" fontId="16" fillId="35" borderId="31" xfId="3" applyFont="1" applyFill="1" applyBorder="1" applyAlignment="1" applyProtection="1">
      <alignment horizontal="center" vertical="center"/>
    </xf>
    <xf numFmtId="9" fontId="16" fillId="35" borderId="30" xfId="3" applyFont="1" applyFill="1" applyBorder="1" applyAlignment="1" applyProtection="1">
      <alignment horizontal="center" vertical="center"/>
    </xf>
    <xf numFmtId="9" fontId="16" fillId="35" borderId="27" xfId="3" applyFont="1" applyFill="1" applyBorder="1" applyAlignment="1" applyProtection="1">
      <alignment horizontal="center" vertical="center"/>
    </xf>
    <xf numFmtId="9" fontId="16" fillId="35" borderId="18" xfId="3" applyFont="1" applyFill="1" applyBorder="1" applyAlignment="1" applyProtection="1">
      <alignment horizontal="center" vertical="center"/>
    </xf>
    <xf numFmtId="9" fontId="16" fillId="35" borderId="26" xfId="3" applyFont="1" applyFill="1" applyBorder="1" applyAlignment="1" applyProtection="1">
      <alignment horizontal="center" vertical="center"/>
    </xf>
    <xf numFmtId="10" fontId="16" fillId="43" borderId="24" xfId="2" applyNumberFormat="1" applyFont="1" applyFill="1" applyBorder="1" applyAlignment="1" applyProtection="1">
      <alignment horizontal="center" vertical="center"/>
    </xf>
    <xf numFmtId="10" fontId="16" fillId="43" borderId="38" xfId="2" applyNumberFormat="1" applyFont="1" applyFill="1" applyBorder="1" applyAlignment="1" applyProtection="1">
      <alignment horizontal="center" vertical="center"/>
    </xf>
    <xf numFmtId="10" fontId="16" fillId="43" borderId="0" xfId="2" applyNumberFormat="1" applyFont="1" applyFill="1" applyBorder="1" applyAlignment="1" applyProtection="1">
      <alignment horizontal="center" vertical="center"/>
    </xf>
    <xf numFmtId="10" fontId="16" fillId="43" borderId="40" xfId="2" applyNumberFormat="1" applyFont="1" applyFill="1" applyBorder="1" applyAlignment="1" applyProtection="1">
      <alignment horizontal="center" vertical="center"/>
    </xf>
    <xf numFmtId="10" fontId="16" fillId="41" borderId="24" xfId="2" applyNumberFormat="1" applyFont="1" applyFill="1" applyBorder="1" applyAlignment="1" applyProtection="1">
      <alignment horizontal="center" vertical="center"/>
    </xf>
    <xf numFmtId="10" fontId="16" fillId="41" borderId="38" xfId="2" applyNumberFormat="1" applyFont="1" applyFill="1" applyBorder="1" applyAlignment="1" applyProtection="1">
      <alignment horizontal="center" vertical="center"/>
    </xf>
    <xf numFmtId="9" fontId="16" fillId="40" borderId="15" xfId="3" applyFont="1" applyFill="1" applyBorder="1" applyAlignment="1" applyProtection="1">
      <alignment horizontal="center" vertical="center"/>
    </xf>
    <xf numFmtId="9" fontId="16" fillId="40" borderId="38" xfId="3" applyFont="1" applyFill="1" applyBorder="1" applyAlignment="1" applyProtection="1">
      <alignment horizontal="center" vertical="center"/>
    </xf>
    <xf numFmtId="9" fontId="16" fillId="40" borderId="12" xfId="3" applyFont="1" applyFill="1" applyBorder="1" applyAlignment="1" applyProtection="1">
      <alignment horizontal="center" vertical="center"/>
    </xf>
    <xf numFmtId="9" fontId="16" fillId="40" borderId="40" xfId="3" applyFont="1" applyFill="1" applyBorder="1" applyAlignment="1" applyProtection="1">
      <alignment horizontal="center" vertical="center"/>
    </xf>
    <xf numFmtId="167" fontId="16" fillId="40" borderId="12" xfId="3" applyNumberFormat="1" applyFont="1" applyFill="1" applyBorder="1" applyAlignment="1" applyProtection="1">
      <alignment horizontal="center" vertical="center"/>
    </xf>
    <xf numFmtId="167" fontId="16" fillId="40" borderId="40" xfId="3" applyNumberFormat="1" applyFont="1" applyFill="1" applyBorder="1" applyAlignment="1" applyProtection="1">
      <alignment horizontal="center" vertical="center"/>
    </xf>
    <xf numFmtId="1" fontId="16" fillId="40" borderId="12" xfId="3" applyNumberFormat="1" applyFont="1" applyFill="1" applyBorder="1" applyAlignment="1" applyProtection="1">
      <alignment horizontal="center" vertical="center"/>
    </xf>
    <xf numFmtId="1" fontId="16" fillId="40" borderId="40" xfId="3" applyNumberFormat="1" applyFont="1" applyFill="1" applyBorder="1" applyAlignment="1" applyProtection="1">
      <alignment horizontal="center" vertical="center"/>
    </xf>
    <xf numFmtId="1" fontId="16" fillId="40" borderId="11" xfId="3" applyNumberFormat="1" applyFont="1" applyFill="1" applyBorder="1" applyAlignment="1" applyProtection="1">
      <alignment horizontal="center" vertical="center"/>
    </xf>
    <xf numFmtId="1" fontId="16" fillId="40" borderId="35" xfId="3" applyNumberFormat="1" applyFont="1" applyFill="1" applyBorder="1" applyAlignment="1" applyProtection="1">
      <alignment horizontal="center" vertical="center"/>
    </xf>
    <xf numFmtId="0" fontId="16" fillId="43" borderId="0" xfId="2" applyFont="1" applyFill="1" applyBorder="1" applyAlignment="1" applyProtection="1">
      <alignment horizontal="center" vertical="center"/>
    </xf>
    <xf numFmtId="0" fontId="16" fillId="43" borderId="40" xfId="2" applyFont="1" applyFill="1" applyBorder="1" applyAlignment="1" applyProtection="1">
      <alignment horizontal="center" vertical="center"/>
    </xf>
    <xf numFmtId="0" fontId="16" fillId="43" borderId="1" xfId="2" applyFont="1" applyFill="1" applyBorder="1" applyAlignment="1" applyProtection="1">
      <alignment horizontal="center" vertical="center"/>
    </xf>
    <xf numFmtId="0" fontId="16" fillId="43" borderId="35" xfId="2" applyFont="1" applyFill="1" applyBorder="1" applyAlignment="1" applyProtection="1">
      <alignment horizontal="center" vertical="center"/>
    </xf>
    <xf numFmtId="0" fontId="16" fillId="41" borderId="12" xfId="2" applyFont="1" applyFill="1" applyBorder="1" applyAlignment="1" applyProtection="1">
      <alignment horizontal="center" vertical="center"/>
    </xf>
    <xf numFmtId="0" fontId="16" fillId="41" borderId="0" xfId="2" applyFont="1" applyFill="1" applyBorder="1" applyAlignment="1" applyProtection="1">
      <alignment horizontal="center" vertical="center"/>
    </xf>
    <xf numFmtId="0" fontId="16" fillId="41" borderId="40" xfId="2" applyFont="1" applyFill="1" applyBorder="1" applyAlignment="1" applyProtection="1">
      <alignment horizontal="center" vertical="center"/>
    </xf>
    <xf numFmtId="0" fontId="16" fillId="41" borderId="11" xfId="2" applyFont="1" applyFill="1" applyBorder="1" applyAlignment="1" applyProtection="1">
      <alignment horizontal="center" vertical="center"/>
    </xf>
    <xf numFmtId="0" fontId="16" fillId="41" borderId="1" xfId="2" applyFont="1" applyFill="1" applyBorder="1" applyAlignment="1" applyProtection="1">
      <alignment horizontal="center" vertical="center"/>
    </xf>
    <xf numFmtId="0" fontId="16" fillId="41" borderId="35" xfId="2" applyFont="1" applyFill="1" applyBorder="1" applyAlignment="1" applyProtection="1">
      <alignment horizontal="center" vertical="center"/>
    </xf>
    <xf numFmtId="1" fontId="16" fillId="35" borderId="32" xfId="2" applyNumberFormat="1" applyFont="1" applyFill="1" applyBorder="1" applyAlignment="1" applyProtection="1">
      <alignment horizontal="center" vertical="center"/>
    </xf>
    <xf numFmtId="1" fontId="16" fillId="35" borderId="31" xfId="2" applyNumberFormat="1" applyFont="1" applyFill="1" applyBorder="1" applyAlignment="1" applyProtection="1">
      <alignment horizontal="center" vertical="center"/>
    </xf>
    <xf numFmtId="1" fontId="16" fillId="35" borderId="30" xfId="2" applyNumberFormat="1" applyFont="1" applyFill="1" applyBorder="1" applyAlignment="1" applyProtection="1">
      <alignment horizontal="center" vertical="center"/>
    </xf>
    <xf numFmtId="1" fontId="16" fillId="35" borderId="27" xfId="2" applyNumberFormat="1" applyFont="1" applyFill="1" applyBorder="1" applyAlignment="1" applyProtection="1">
      <alignment horizontal="center" vertical="center"/>
    </xf>
    <xf numFmtId="1" fontId="16" fillId="35" borderId="18" xfId="2" applyNumberFormat="1" applyFont="1" applyFill="1" applyBorder="1" applyAlignment="1" applyProtection="1">
      <alignment horizontal="center" vertical="center"/>
    </xf>
    <xf numFmtId="1" fontId="16" fillId="35" borderId="26" xfId="2" applyNumberFormat="1" applyFont="1" applyFill="1" applyBorder="1" applyAlignment="1" applyProtection="1">
      <alignment horizontal="center" vertical="center"/>
    </xf>
    <xf numFmtId="1" fontId="16" fillId="35" borderId="48" xfId="2" applyNumberFormat="1" applyFont="1" applyFill="1" applyBorder="1" applyAlignment="1" applyProtection="1">
      <alignment horizontal="center" vertical="center"/>
    </xf>
    <xf numFmtId="1" fontId="16" fillId="35" borderId="1" xfId="2" applyNumberFormat="1" applyFont="1" applyFill="1" applyBorder="1" applyAlignment="1" applyProtection="1">
      <alignment horizontal="center" vertical="center"/>
    </xf>
    <xf numFmtId="1" fontId="16" fillId="35" borderId="49" xfId="2" applyNumberFormat="1" applyFont="1" applyFill="1" applyBorder="1" applyAlignment="1" applyProtection="1">
      <alignment horizontal="center" vertical="center"/>
    </xf>
    <xf numFmtId="0" fontId="16" fillId="35" borderId="38" xfId="2" applyFont="1" applyFill="1" applyBorder="1" applyAlignment="1" applyProtection="1">
      <alignment horizontal="center" vertical="center"/>
    </xf>
    <xf numFmtId="0" fontId="16" fillId="35" borderId="35" xfId="2" applyFont="1" applyFill="1" applyBorder="1" applyAlignment="1" applyProtection="1">
      <alignment horizontal="center" vertical="center"/>
    </xf>
    <xf numFmtId="0" fontId="19" fillId="37" borderId="15" xfId="2" applyFont="1" applyFill="1" applyBorder="1" applyAlignment="1" applyProtection="1">
      <alignment horizontal="center" vertical="center" textRotation="90"/>
    </xf>
    <xf numFmtId="0" fontId="19" fillId="37" borderId="12" xfId="2" applyFont="1" applyFill="1" applyBorder="1" applyAlignment="1" applyProtection="1">
      <alignment horizontal="center" vertical="center" textRotation="90"/>
    </xf>
    <xf numFmtId="0" fontId="19" fillId="37" borderId="11" xfId="2" applyFont="1" applyFill="1" applyBorder="1" applyAlignment="1" applyProtection="1">
      <alignment horizontal="center" vertical="center" textRotation="90"/>
    </xf>
    <xf numFmtId="0" fontId="18" fillId="35" borderId="12" xfId="2" applyFont="1" applyFill="1" applyBorder="1" applyAlignment="1" applyProtection="1">
      <alignment horizontal="center" vertical="center"/>
    </xf>
    <xf numFmtId="0" fontId="18" fillId="35" borderId="0" xfId="2" applyFont="1" applyFill="1" applyBorder="1" applyAlignment="1" applyProtection="1">
      <alignment horizontal="center" vertical="center"/>
    </xf>
    <xf numFmtId="0" fontId="18" fillId="35" borderId="40" xfId="2" applyFont="1" applyFill="1" applyBorder="1" applyAlignment="1" applyProtection="1">
      <alignment horizontal="center" vertical="center"/>
    </xf>
    <xf numFmtId="0" fontId="18" fillId="35" borderId="11" xfId="2" applyFont="1" applyFill="1" applyBorder="1" applyAlignment="1" applyProtection="1">
      <alignment horizontal="center" vertical="center"/>
    </xf>
    <xf numFmtId="0" fontId="18" fillId="35" borderId="1" xfId="2" applyFont="1" applyFill="1" applyBorder="1" applyAlignment="1" applyProtection="1">
      <alignment horizontal="center" vertical="center"/>
    </xf>
    <xf numFmtId="0" fontId="18" fillId="35" borderId="35" xfId="2" applyFont="1" applyFill="1" applyBorder="1" applyAlignment="1" applyProtection="1">
      <alignment horizontal="center" vertical="center"/>
    </xf>
    <xf numFmtId="9" fontId="22" fillId="42" borderId="24" xfId="2" applyNumberFormat="1" applyFont="1" applyFill="1" applyBorder="1" applyAlignment="1" applyProtection="1">
      <alignment horizontal="center" vertical="center"/>
    </xf>
    <xf numFmtId="0" fontId="22" fillId="42" borderId="24" xfId="2" applyFont="1" applyFill="1" applyBorder="1" applyAlignment="1" applyProtection="1">
      <alignment horizontal="center" vertical="center"/>
    </xf>
    <xf numFmtId="0" fontId="22" fillId="42" borderId="38" xfId="2" applyFont="1" applyFill="1" applyBorder="1" applyAlignment="1" applyProtection="1">
      <alignment horizontal="center" vertical="center"/>
    </xf>
    <xf numFmtId="0" fontId="22" fillId="42" borderId="1" xfId="2" applyFont="1" applyFill="1" applyBorder="1" applyAlignment="1" applyProtection="1">
      <alignment horizontal="center" vertical="center"/>
    </xf>
    <xf numFmtId="0" fontId="22" fillId="42" borderId="35" xfId="2" applyFont="1" applyFill="1" applyBorder="1" applyAlignment="1" applyProtection="1">
      <alignment horizontal="center" vertical="center"/>
    </xf>
    <xf numFmtId="9" fontId="16" fillId="36" borderId="32" xfId="3" applyFont="1" applyFill="1" applyBorder="1" applyAlignment="1" applyProtection="1">
      <alignment horizontal="center" vertical="center"/>
    </xf>
    <xf numFmtId="9" fontId="16" fillId="36" borderId="31" xfId="3" applyFont="1" applyFill="1" applyBorder="1" applyAlignment="1" applyProtection="1">
      <alignment horizontal="center" vertical="center"/>
    </xf>
    <xf numFmtId="9" fontId="16" fillId="36" borderId="30" xfId="3" applyFont="1" applyFill="1" applyBorder="1" applyAlignment="1" applyProtection="1">
      <alignment horizontal="center" vertical="center"/>
    </xf>
    <xf numFmtId="9" fontId="16" fillId="36" borderId="27" xfId="3" applyFont="1" applyFill="1" applyBorder="1" applyAlignment="1" applyProtection="1">
      <alignment horizontal="center" vertical="center"/>
    </xf>
    <xf numFmtId="9" fontId="16" fillId="36" borderId="18" xfId="3" applyFont="1" applyFill="1" applyBorder="1" applyAlignment="1" applyProtection="1">
      <alignment horizontal="center" vertical="center"/>
    </xf>
    <xf numFmtId="9" fontId="16" fillId="36" borderId="26" xfId="3" applyFont="1" applyFill="1" applyBorder="1" applyAlignment="1" applyProtection="1">
      <alignment horizontal="center" vertical="center"/>
    </xf>
    <xf numFmtId="0" fontId="16" fillId="35" borderId="20" xfId="2" applyFont="1" applyFill="1" applyBorder="1" applyAlignment="1" applyProtection="1">
      <alignment horizontal="center" vertical="center"/>
    </xf>
    <xf numFmtId="0" fontId="16" fillId="35" borderId="17" xfId="2" applyFont="1" applyFill="1" applyBorder="1" applyAlignment="1" applyProtection="1">
      <alignment horizontal="center" vertical="center"/>
    </xf>
    <xf numFmtId="0" fontId="19" fillId="37" borderId="8" xfId="2" applyFont="1" applyFill="1" applyBorder="1" applyAlignment="1" applyProtection="1">
      <alignment horizontal="center" vertical="center" textRotation="90"/>
    </xf>
    <xf numFmtId="0" fontId="19" fillId="37" borderId="16" xfId="2" applyFont="1" applyFill="1" applyBorder="1" applyAlignment="1" applyProtection="1">
      <alignment horizontal="center" vertical="center" textRotation="90"/>
    </xf>
    <xf numFmtId="0" fontId="19" fillId="37" borderId="9" xfId="2" applyFont="1" applyFill="1" applyBorder="1" applyAlignment="1" applyProtection="1">
      <alignment horizontal="center" vertical="center" textRotation="90"/>
    </xf>
    <xf numFmtId="0" fontId="16" fillId="43" borderId="12" xfId="2" applyFont="1" applyFill="1" applyBorder="1" applyAlignment="1" applyProtection="1">
      <alignment horizontal="center" vertical="center"/>
    </xf>
    <xf numFmtId="0" fontId="16" fillId="36" borderId="15" xfId="2" applyFont="1" applyFill="1" applyBorder="1" applyAlignment="1" applyProtection="1">
      <alignment horizontal="center" vertical="center"/>
    </xf>
    <xf numFmtId="0" fontId="16" fillId="36" borderId="24" xfId="2" applyFont="1" applyFill="1" applyBorder="1" applyAlignment="1" applyProtection="1">
      <alignment horizontal="center" vertical="center"/>
    </xf>
    <xf numFmtId="0" fontId="16" fillId="36" borderId="38" xfId="2" applyFont="1" applyFill="1" applyBorder="1" applyAlignment="1" applyProtection="1">
      <alignment horizontal="center" vertical="center"/>
    </xf>
    <xf numFmtId="0" fontId="16" fillId="36" borderId="12" xfId="2" applyFont="1" applyFill="1" applyBorder="1" applyAlignment="1" applyProtection="1">
      <alignment horizontal="center" vertical="center"/>
    </xf>
    <xf numFmtId="0" fontId="16" fillId="36" borderId="0" xfId="2" applyFont="1" applyFill="1" applyBorder="1" applyAlignment="1" applyProtection="1">
      <alignment horizontal="center" vertical="center"/>
    </xf>
    <xf numFmtId="0" fontId="16" fillId="36" borderId="40" xfId="2" applyFont="1" applyFill="1" applyBorder="1" applyAlignment="1" applyProtection="1">
      <alignment horizontal="center" vertical="center"/>
    </xf>
    <xf numFmtId="0" fontId="16" fillId="36" borderId="11" xfId="2" applyFont="1" applyFill="1" applyBorder="1" applyAlignment="1" applyProtection="1">
      <alignment horizontal="center" vertical="center"/>
    </xf>
    <xf numFmtId="0" fontId="16" fillId="36" borderId="1" xfId="2" applyFont="1" applyFill="1" applyBorder="1" applyAlignment="1" applyProtection="1">
      <alignment horizontal="center" vertical="center"/>
    </xf>
    <xf numFmtId="0" fontId="16" fillId="36" borderId="35" xfId="2" applyFont="1" applyFill="1" applyBorder="1" applyAlignment="1" applyProtection="1">
      <alignment horizontal="center" vertical="center"/>
    </xf>
    <xf numFmtId="0" fontId="19" fillId="37" borderId="15" xfId="2" applyFont="1" applyFill="1" applyBorder="1" applyAlignment="1" applyProtection="1">
      <alignment horizontal="center" textRotation="90"/>
    </xf>
    <xf numFmtId="0" fontId="19" fillId="37" borderId="12" xfId="2" applyFont="1" applyFill="1" applyBorder="1" applyAlignment="1" applyProtection="1">
      <alignment horizontal="center" textRotation="90"/>
    </xf>
    <xf numFmtId="0" fontId="19" fillId="37" borderId="11" xfId="2" applyFont="1" applyFill="1" applyBorder="1" applyAlignment="1" applyProtection="1">
      <alignment horizontal="center" textRotation="90"/>
    </xf>
    <xf numFmtId="0" fontId="16" fillId="35" borderId="12" xfId="2" applyFont="1" applyFill="1" applyBorder="1" applyAlignment="1" applyProtection="1">
      <alignment horizontal="center" vertical="center"/>
    </xf>
    <xf numFmtId="0" fontId="16" fillId="35" borderId="0" xfId="2" applyFont="1" applyFill="1" applyBorder="1" applyAlignment="1" applyProtection="1">
      <alignment horizontal="center" vertical="center"/>
    </xf>
    <xf numFmtId="0" fontId="16" fillId="35" borderId="40" xfId="2" applyFont="1" applyFill="1" applyBorder="1" applyAlignment="1" applyProtection="1">
      <alignment horizontal="center" vertical="center"/>
    </xf>
    <xf numFmtId="0" fontId="21" fillId="39" borderId="24" xfId="2" applyFont="1" applyFill="1" applyBorder="1" applyAlignment="1" applyProtection="1">
      <alignment horizontal="center" vertical="center"/>
    </xf>
    <xf numFmtId="0" fontId="21" fillId="39" borderId="0" xfId="2" applyFont="1" applyFill="1" applyBorder="1" applyAlignment="1" applyProtection="1">
      <alignment horizontal="center" vertical="center"/>
    </xf>
    <xf numFmtId="1" fontId="16" fillId="40" borderId="12" xfId="2" applyNumberFormat="1" applyFont="1" applyFill="1" applyBorder="1" applyAlignment="1" applyProtection="1">
      <alignment horizontal="center" vertical="center"/>
    </xf>
    <xf numFmtId="1" fontId="16" fillId="40" borderId="0" xfId="2" applyNumberFormat="1" applyFont="1" applyFill="1" applyBorder="1" applyAlignment="1" applyProtection="1">
      <alignment horizontal="center" vertical="center"/>
    </xf>
    <xf numFmtId="0" fontId="16" fillId="36" borderId="50" xfId="2" applyFont="1" applyFill="1" applyBorder="1" applyAlignment="1" applyProtection="1">
      <alignment horizontal="center" vertical="center"/>
    </xf>
    <xf numFmtId="0" fontId="16" fillId="36" borderId="49" xfId="2" applyFont="1" applyFill="1" applyBorder="1" applyAlignment="1" applyProtection="1">
      <alignment horizontal="center" vertical="center"/>
    </xf>
    <xf numFmtId="10" fontId="16" fillId="40" borderId="41" xfId="2" applyNumberFormat="1" applyFont="1" applyFill="1" applyBorder="1" applyAlignment="1" applyProtection="1">
      <alignment horizontal="center" vertical="center"/>
    </xf>
    <xf numFmtId="10" fontId="16" fillId="40" borderId="24" xfId="2" applyNumberFormat="1" applyFont="1" applyFill="1" applyBorder="1" applyAlignment="1" applyProtection="1">
      <alignment horizontal="center" vertical="center"/>
    </xf>
    <xf numFmtId="10" fontId="16" fillId="40" borderId="38" xfId="2" applyNumberFormat="1" applyFont="1" applyFill="1" applyBorder="1" applyAlignment="1" applyProtection="1">
      <alignment horizontal="center" vertical="center"/>
    </xf>
    <xf numFmtId="10" fontId="16" fillId="39" borderId="28" xfId="2" applyNumberFormat="1" applyFont="1" applyFill="1" applyBorder="1" applyAlignment="1" applyProtection="1">
      <alignment horizontal="center" vertical="center"/>
    </xf>
    <xf numFmtId="9" fontId="16" fillId="41" borderId="12" xfId="2" applyNumberFormat="1" applyFont="1" applyFill="1" applyBorder="1" applyAlignment="1" applyProtection="1">
      <alignment horizontal="center" vertical="center"/>
    </xf>
    <xf numFmtId="10" fontId="16" fillId="38" borderId="12" xfId="2" applyNumberFormat="1" applyFont="1" applyFill="1" applyBorder="1" applyAlignment="1" applyProtection="1">
      <alignment horizontal="center" vertical="center"/>
    </xf>
    <xf numFmtId="10" fontId="16" fillId="38" borderId="0" xfId="2" applyNumberFormat="1" applyFont="1" applyFill="1" applyBorder="1" applyAlignment="1" applyProtection="1">
      <alignment horizontal="center" vertical="center"/>
    </xf>
    <xf numFmtId="10" fontId="16" fillId="38" borderId="40" xfId="2" applyNumberFormat="1" applyFont="1" applyFill="1" applyBorder="1" applyAlignment="1" applyProtection="1">
      <alignment horizontal="center" vertical="center"/>
    </xf>
    <xf numFmtId="0" fontId="19" fillId="44" borderId="7" xfId="2" applyFont="1" applyFill="1" applyBorder="1" applyAlignment="1" applyProtection="1">
      <alignment horizontal="center" vertical="center"/>
    </xf>
    <xf numFmtId="0" fontId="22" fillId="42" borderId="15" xfId="2" applyFont="1" applyFill="1" applyBorder="1" applyAlignment="1" applyProtection="1">
      <alignment horizontal="center" vertical="center"/>
    </xf>
    <xf numFmtId="0" fontId="22" fillId="42" borderId="12" xfId="2" applyFont="1" applyFill="1" applyBorder="1" applyAlignment="1" applyProtection="1">
      <alignment horizontal="center" vertical="center"/>
    </xf>
    <xf numFmtId="0" fontId="22" fillId="42" borderId="0" xfId="2" applyFont="1" applyFill="1" applyBorder="1" applyAlignment="1" applyProtection="1">
      <alignment horizontal="center" vertical="center"/>
    </xf>
    <xf numFmtId="0" fontId="22" fillId="42" borderId="40" xfId="2" applyFont="1" applyFill="1" applyBorder="1" applyAlignment="1" applyProtection="1">
      <alignment horizontal="center" vertical="center"/>
    </xf>
    <xf numFmtId="0" fontId="22" fillId="42" borderId="11" xfId="2" applyFont="1" applyFill="1" applyBorder="1" applyAlignment="1" applyProtection="1">
      <alignment horizontal="center" vertical="center"/>
    </xf>
    <xf numFmtId="0" fontId="19" fillId="44" borderId="7" xfId="2" applyFont="1" applyFill="1" applyBorder="1" applyAlignment="1" applyProtection="1">
      <alignment horizontal="left" vertical="center"/>
    </xf>
    <xf numFmtId="10" fontId="16" fillId="41" borderId="15" xfId="2" applyNumberFormat="1" applyFont="1" applyFill="1" applyBorder="1" applyAlignment="1" applyProtection="1">
      <alignment horizontal="center" vertical="center"/>
    </xf>
    <xf numFmtId="0" fontId="17" fillId="43" borderId="0" xfId="2" applyFont="1" applyFill="1" applyBorder="1" applyAlignment="1" applyProtection="1">
      <alignment horizontal="center" vertical="center"/>
    </xf>
    <xf numFmtId="0" fontId="17" fillId="43" borderId="40" xfId="2" applyFont="1" applyFill="1" applyBorder="1" applyAlignment="1" applyProtection="1">
      <alignment horizontal="center" vertical="center"/>
    </xf>
    <xf numFmtId="167" fontId="16" fillId="43" borderId="0" xfId="2" applyNumberFormat="1" applyFont="1" applyFill="1" applyBorder="1" applyAlignment="1" applyProtection="1">
      <alignment horizontal="center" vertical="center"/>
    </xf>
    <xf numFmtId="167" fontId="16" fillId="43" borderId="40" xfId="2" applyNumberFormat="1" applyFont="1" applyFill="1" applyBorder="1" applyAlignment="1" applyProtection="1">
      <alignment horizontal="center" vertical="center"/>
    </xf>
    <xf numFmtId="167" fontId="16" fillId="35" borderId="32" xfId="2" applyNumberFormat="1" applyFont="1" applyFill="1" applyBorder="1" applyAlignment="1" applyProtection="1">
      <alignment horizontal="center" vertical="center"/>
    </xf>
    <xf numFmtId="167" fontId="16" fillId="35" borderId="31" xfId="2" applyNumberFormat="1" applyFont="1" applyFill="1" applyBorder="1" applyAlignment="1" applyProtection="1">
      <alignment horizontal="center" vertical="center"/>
    </xf>
    <xf numFmtId="167" fontId="16" fillId="35" borderId="30" xfId="2" applyNumberFormat="1" applyFont="1" applyFill="1" applyBorder="1" applyAlignment="1" applyProtection="1">
      <alignment horizontal="center" vertical="center"/>
    </xf>
    <xf numFmtId="167" fontId="16" fillId="35" borderId="27" xfId="2" applyNumberFormat="1" applyFont="1" applyFill="1" applyBorder="1" applyAlignment="1" applyProtection="1">
      <alignment horizontal="center" vertical="center"/>
    </xf>
    <xf numFmtId="167" fontId="16" fillId="35" borderId="18" xfId="2" applyNumberFormat="1" applyFont="1" applyFill="1" applyBorder="1" applyAlignment="1" applyProtection="1">
      <alignment horizontal="center" vertical="center"/>
    </xf>
    <xf numFmtId="167" fontId="16" fillId="35" borderId="26" xfId="2" applyNumberFormat="1" applyFont="1" applyFill="1" applyBorder="1" applyAlignment="1" applyProtection="1">
      <alignment horizontal="center" vertical="center"/>
    </xf>
    <xf numFmtId="0" fontId="16" fillId="35" borderId="32" xfId="2" applyFont="1" applyFill="1" applyBorder="1" applyAlignment="1" applyProtection="1">
      <alignment horizontal="center" vertical="center"/>
    </xf>
    <xf numFmtId="0" fontId="16" fillId="35" borderId="31" xfId="2" applyFont="1" applyFill="1" applyBorder="1" applyAlignment="1" applyProtection="1">
      <alignment horizontal="center" vertical="center"/>
    </xf>
    <xf numFmtId="0" fontId="16" fillId="35" borderId="47" xfId="2" applyFont="1" applyFill="1" applyBorder="1" applyAlignment="1" applyProtection="1">
      <alignment horizontal="center" vertical="center"/>
    </xf>
    <xf numFmtId="0" fontId="16" fillId="35" borderId="27" xfId="2" applyFont="1" applyFill="1" applyBorder="1" applyAlignment="1" applyProtection="1">
      <alignment horizontal="center" vertical="center"/>
    </xf>
    <xf numFmtId="0" fontId="16" fillId="35" borderId="18" xfId="2" applyFont="1" applyFill="1" applyBorder="1" applyAlignment="1" applyProtection="1">
      <alignment horizontal="center" vertical="center"/>
    </xf>
    <xf numFmtId="0" fontId="16" fillId="35" borderId="37" xfId="2" applyFont="1" applyFill="1" applyBorder="1" applyAlignment="1" applyProtection="1">
      <alignment horizontal="center" vertical="center"/>
    </xf>
    <xf numFmtId="1" fontId="16" fillId="40" borderId="11" xfId="2" applyNumberFormat="1" applyFont="1" applyFill="1" applyBorder="1" applyAlignment="1" applyProtection="1">
      <alignment horizontal="center" vertical="center"/>
    </xf>
    <xf numFmtId="1" fontId="16" fillId="40" borderId="1" xfId="2" applyNumberFormat="1" applyFont="1" applyFill="1" applyBorder="1" applyAlignment="1" applyProtection="1">
      <alignment horizontal="center" vertical="center"/>
    </xf>
    <xf numFmtId="1" fontId="16" fillId="40" borderId="15" xfId="2" applyNumberFormat="1" applyFont="1" applyFill="1" applyBorder="1" applyAlignment="1" applyProtection="1">
      <alignment horizontal="center" vertical="center"/>
    </xf>
    <xf numFmtId="1" fontId="16" fillId="40" borderId="24" xfId="2" applyNumberFormat="1" applyFont="1" applyFill="1" applyBorder="1" applyAlignment="1" applyProtection="1">
      <alignment horizontal="center" vertical="center"/>
    </xf>
    <xf numFmtId="1" fontId="16" fillId="43" borderId="0" xfId="2" applyNumberFormat="1" applyFont="1" applyFill="1" applyBorder="1" applyAlignment="1" applyProtection="1">
      <alignment horizontal="center" vertical="center"/>
    </xf>
    <xf numFmtId="0" fontId="16" fillId="35" borderId="15" xfId="2" quotePrefix="1" applyFont="1" applyFill="1" applyBorder="1" applyAlignment="1" applyProtection="1">
      <alignment horizontal="center" vertical="center"/>
    </xf>
    <xf numFmtId="1" fontId="16" fillId="43" borderId="1" xfId="2" applyNumberFormat="1" applyFont="1" applyFill="1" applyBorder="1" applyAlignment="1" applyProtection="1">
      <alignment horizontal="center" vertical="center"/>
    </xf>
    <xf numFmtId="9" fontId="16" fillId="41" borderId="0" xfId="3" applyFont="1" applyFill="1" applyBorder="1" applyAlignment="1" applyProtection="1">
      <alignment horizontal="center" vertical="center"/>
    </xf>
    <xf numFmtId="9" fontId="16" fillId="41" borderId="40" xfId="3" applyFont="1" applyFill="1" applyBorder="1" applyAlignment="1" applyProtection="1">
      <alignment horizontal="center" vertical="center"/>
    </xf>
    <xf numFmtId="167" fontId="16" fillId="41" borderId="12" xfId="2" applyNumberFormat="1" applyFont="1" applyFill="1" applyBorder="1" applyAlignment="1" applyProtection="1">
      <alignment horizontal="center" vertical="center"/>
    </xf>
    <xf numFmtId="167" fontId="16" fillId="41" borderId="0" xfId="2" applyNumberFormat="1" applyFont="1" applyFill="1" applyBorder="1" applyAlignment="1" applyProtection="1">
      <alignment horizontal="center" vertical="center"/>
    </xf>
    <xf numFmtId="167" fontId="16" fillId="41" borderId="40" xfId="2" applyNumberFormat="1" applyFont="1" applyFill="1" applyBorder="1" applyAlignment="1" applyProtection="1">
      <alignment horizontal="center" vertical="center"/>
    </xf>
    <xf numFmtId="9" fontId="16" fillId="38" borderId="12" xfId="2" applyNumberFormat="1" applyFont="1" applyFill="1" applyBorder="1" applyAlignment="1" applyProtection="1">
      <alignment horizontal="center" vertical="center"/>
    </xf>
    <xf numFmtId="0" fontId="16" fillId="38" borderId="0" xfId="2" applyFont="1" applyFill="1" applyBorder="1" applyAlignment="1" applyProtection="1">
      <alignment horizontal="center" vertical="center"/>
    </xf>
    <xf numFmtId="0" fontId="16" fillId="38" borderId="40" xfId="2" applyFont="1" applyFill="1" applyBorder="1" applyAlignment="1" applyProtection="1">
      <alignment horizontal="center" vertical="center"/>
    </xf>
    <xf numFmtId="0" fontId="16" fillId="38" borderId="12" xfId="2" applyFont="1" applyFill="1" applyBorder="1" applyAlignment="1" applyProtection="1">
      <alignment horizontal="center" vertical="center"/>
    </xf>
    <xf numFmtId="9" fontId="16" fillId="41" borderId="15" xfId="2" applyNumberFormat="1" applyFont="1" applyFill="1" applyBorder="1" applyAlignment="1" applyProtection="1">
      <alignment horizontal="center" vertical="center"/>
    </xf>
    <xf numFmtId="0" fontId="16" fillId="41" borderId="24" xfId="2" applyFont="1" applyFill="1" applyBorder="1" applyAlignment="1" applyProtection="1">
      <alignment horizontal="center" vertical="center"/>
    </xf>
    <xf numFmtId="0" fontId="16" fillId="41" borderId="38" xfId="2" applyFont="1" applyFill="1" applyBorder="1" applyAlignment="1" applyProtection="1">
      <alignment horizontal="center" vertical="center"/>
    </xf>
    <xf numFmtId="0" fontId="16" fillId="35" borderId="15" xfId="2" applyFont="1" applyFill="1" applyBorder="1" applyAlignment="1" applyProtection="1">
      <alignment horizontal="left" vertical="center"/>
    </xf>
    <xf numFmtId="0" fontId="16" fillId="35" borderId="24" xfId="2" applyFont="1" applyFill="1" applyBorder="1" applyAlignment="1" applyProtection="1">
      <alignment horizontal="left" vertical="center"/>
    </xf>
    <xf numFmtId="0" fontId="16" fillId="35" borderId="38" xfId="2" applyFont="1" applyFill="1" applyBorder="1" applyAlignment="1" applyProtection="1">
      <alignment horizontal="left" vertical="center"/>
    </xf>
    <xf numFmtId="0" fontId="16" fillId="35" borderId="11" xfId="2" applyFont="1" applyFill="1" applyBorder="1" applyAlignment="1" applyProtection="1">
      <alignment horizontal="left" vertical="center"/>
    </xf>
    <xf numFmtId="0" fontId="16" fillId="35" borderId="1" xfId="2" applyFont="1" applyFill="1" applyBorder="1" applyAlignment="1" applyProtection="1">
      <alignment horizontal="left" vertical="center"/>
    </xf>
    <xf numFmtId="0" fontId="16" fillId="35" borderId="35" xfId="2" applyFont="1" applyFill="1" applyBorder="1" applyAlignment="1" applyProtection="1">
      <alignment horizontal="left" vertical="center"/>
    </xf>
    <xf numFmtId="0" fontId="16" fillId="39" borderId="12" xfId="2" applyFont="1" applyFill="1" applyBorder="1" applyAlignment="1" applyProtection="1">
      <alignment horizontal="center" vertical="center"/>
    </xf>
    <xf numFmtId="0" fontId="16" fillId="39" borderId="0" xfId="2" applyFont="1" applyFill="1" applyBorder="1" applyAlignment="1" applyProtection="1">
      <alignment horizontal="center" vertical="center"/>
    </xf>
    <xf numFmtId="9" fontId="16" fillId="38" borderId="0" xfId="3" applyFont="1" applyFill="1" applyBorder="1" applyAlignment="1" applyProtection="1">
      <alignment horizontal="center" vertical="center"/>
    </xf>
    <xf numFmtId="1" fontId="16" fillId="40" borderId="40" xfId="2" applyNumberFormat="1" applyFont="1" applyFill="1" applyBorder="1" applyAlignment="1" applyProtection="1">
      <alignment horizontal="center" vertical="center"/>
    </xf>
    <xf numFmtId="9" fontId="16" fillId="41" borderId="24" xfId="3" applyFont="1" applyFill="1" applyBorder="1" applyAlignment="1" applyProtection="1">
      <alignment horizontal="center" vertical="center"/>
    </xf>
    <xf numFmtId="9" fontId="16" fillId="41" borderId="38" xfId="3" applyFont="1" applyFill="1" applyBorder="1" applyAlignment="1" applyProtection="1">
      <alignment horizontal="center" vertical="center"/>
    </xf>
    <xf numFmtId="9" fontId="16" fillId="38" borderId="40" xfId="3" applyFont="1" applyFill="1" applyBorder="1" applyAlignment="1" applyProtection="1">
      <alignment horizontal="center" vertical="center"/>
    </xf>
    <xf numFmtId="0" fontId="16" fillId="36" borderId="15" xfId="2" applyFont="1" applyFill="1" applyBorder="1" applyAlignment="1" applyProtection="1">
      <alignment horizontal="left" vertical="center"/>
    </xf>
    <xf numFmtId="0" fontId="16" fillId="36" borderId="24" xfId="2" applyFont="1" applyFill="1" applyBorder="1" applyAlignment="1" applyProtection="1">
      <alignment horizontal="left" vertical="center"/>
    </xf>
    <xf numFmtId="0" fontId="16" fillId="36" borderId="38" xfId="2" applyFont="1" applyFill="1" applyBorder="1" applyAlignment="1" applyProtection="1">
      <alignment horizontal="left" vertical="center"/>
    </xf>
    <xf numFmtId="0" fontId="16" fillId="36" borderId="11" xfId="2" applyFont="1" applyFill="1" applyBorder="1" applyAlignment="1" applyProtection="1">
      <alignment horizontal="left" vertical="center"/>
    </xf>
    <xf numFmtId="0" fontId="16" fillId="36" borderId="1" xfId="2" applyFont="1" applyFill="1" applyBorder="1" applyAlignment="1" applyProtection="1">
      <alignment horizontal="left" vertical="center"/>
    </xf>
    <xf numFmtId="0" fontId="16" fillId="36" borderId="35" xfId="2" applyFont="1" applyFill="1" applyBorder="1" applyAlignment="1" applyProtection="1">
      <alignment horizontal="left" vertical="center"/>
    </xf>
    <xf numFmtId="0" fontId="16" fillId="35" borderId="12" xfId="2" applyFont="1" applyFill="1" applyBorder="1" applyAlignment="1" applyProtection="1">
      <alignment horizontal="left" vertical="center"/>
    </xf>
    <xf numFmtId="0" fontId="16" fillId="35" borderId="0" xfId="2" applyFont="1" applyFill="1" applyBorder="1" applyAlignment="1" applyProtection="1">
      <alignment horizontal="left" vertical="center"/>
    </xf>
    <xf numFmtId="0" fontId="16" fillId="35" borderId="40" xfId="2" applyFont="1" applyFill="1" applyBorder="1" applyAlignment="1" applyProtection="1">
      <alignment horizontal="left" vertical="center"/>
    </xf>
    <xf numFmtId="0" fontId="18" fillId="35" borderId="0" xfId="2" applyFont="1" applyFill="1" applyBorder="1" applyAlignment="1" applyProtection="1">
      <alignment horizontal="left" vertical="center"/>
    </xf>
    <xf numFmtId="0" fontId="18" fillId="35" borderId="40" xfId="2" applyFont="1" applyFill="1" applyBorder="1" applyAlignment="1" applyProtection="1">
      <alignment horizontal="left" vertical="center"/>
    </xf>
    <xf numFmtId="0" fontId="18" fillId="35" borderId="1" xfId="2" applyFont="1" applyFill="1" applyBorder="1" applyAlignment="1" applyProtection="1">
      <alignment horizontal="left" vertical="center"/>
    </xf>
    <xf numFmtId="0" fontId="18" fillId="35" borderId="35" xfId="2" applyFont="1" applyFill="1" applyBorder="1" applyAlignment="1" applyProtection="1">
      <alignment horizontal="left" vertical="center"/>
    </xf>
    <xf numFmtId="0" fontId="16" fillId="35" borderId="8" xfId="2" applyFont="1" applyFill="1" applyBorder="1" applyAlignment="1" applyProtection="1">
      <alignment horizontal="center" vertical="center"/>
    </xf>
    <xf numFmtId="0" fontId="16" fillId="35" borderId="9" xfId="2" applyFont="1" applyFill="1" applyBorder="1" applyAlignment="1" applyProtection="1">
      <alignment horizontal="center" vertical="center"/>
    </xf>
    <xf numFmtId="1" fontId="17" fillId="40" borderId="40" xfId="2" applyNumberFormat="1" applyFont="1" applyFill="1" applyBorder="1" applyAlignment="1" applyProtection="1">
      <alignment horizontal="center" vertical="center"/>
    </xf>
    <xf numFmtId="1" fontId="16" fillId="40" borderId="38" xfId="2" applyNumberFormat="1" applyFont="1" applyFill="1" applyBorder="1" applyAlignment="1" applyProtection="1">
      <alignment horizontal="center" vertical="center"/>
    </xf>
    <xf numFmtId="164" fontId="16" fillId="40" borderId="24" xfId="2" applyNumberFormat="1" applyFont="1" applyFill="1" applyBorder="1" applyAlignment="1" applyProtection="1">
      <alignment horizontal="center" vertical="center"/>
    </xf>
    <xf numFmtId="164" fontId="16" fillId="40" borderId="38" xfId="2" applyNumberFormat="1" applyFont="1" applyFill="1" applyBorder="1" applyAlignment="1" applyProtection="1">
      <alignment horizontal="center" vertical="center"/>
    </xf>
    <xf numFmtId="164" fontId="16" fillId="40" borderId="0" xfId="2" applyNumberFormat="1" applyFont="1" applyFill="1" applyBorder="1" applyAlignment="1" applyProtection="1">
      <alignment horizontal="center" vertical="center"/>
    </xf>
    <xf numFmtId="164" fontId="16" fillId="40" borderId="40" xfId="2" applyNumberFormat="1" applyFont="1" applyFill="1" applyBorder="1" applyAlignment="1" applyProtection="1">
      <alignment horizontal="center" vertical="center"/>
    </xf>
    <xf numFmtId="164" fontId="16" fillId="40" borderId="1" xfId="2" applyNumberFormat="1" applyFont="1" applyFill="1" applyBorder="1" applyAlignment="1" applyProtection="1">
      <alignment horizontal="center" vertical="center"/>
    </xf>
    <xf numFmtId="164" fontId="16" fillId="40" borderId="35" xfId="2" applyNumberFormat="1" applyFont="1" applyFill="1" applyBorder="1" applyAlignment="1" applyProtection="1">
      <alignment horizontal="center" vertical="center"/>
    </xf>
    <xf numFmtId="165" fontId="16" fillId="40" borderId="15" xfId="2" applyNumberFormat="1" applyFont="1" applyFill="1" applyBorder="1" applyAlignment="1" applyProtection="1">
      <alignment horizontal="center" vertical="center"/>
    </xf>
    <xf numFmtId="165" fontId="16" fillId="40" borderId="24" xfId="2" applyNumberFormat="1" applyFont="1" applyFill="1" applyBorder="1" applyAlignment="1" applyProtection="1">
      <alignment horizontal="center" vertical="center"/>
    </xf>
    <xf numFmtId="165" fontId="16" fillId="40" borderId="38" xfId="2" applyNumberFormat="1" applyFont="1" applyFill="1" applyBorder="1" applyAlignment="1" applyProtection="1">
      <alignment horizontal="center" vertical="center"/>
    </xf>
    <xf numFmtId="165" fontId="16" fillId="40" borderId="12" xfId="2" applyNumberFormat="1" applyFont="1" applyFill="1" applyBorder="1" applyAlignment="1" applyProtection="1">
      <alignment horizontal="center" vertical="center"/>
    </xf>
    <xf numFmtId="165" fontId="16" fillId="40" borderId="0" xfId="2" applyNumberFormat="1" applyFont="1" applyFill="1" applyBorder="1" applyAlignment="1" applyProtection="1">
      <alignment horizontal="center" vertical="center"/>
    </xf>
    <xf numFmtId="165" fontId="16" fillId="40" borderId="40" xfId="2" applyNumberFormat="1" applyFont="1" applyFill="1" applyBorder="1" applyAlignment="1" applyProtection="1">
      <alignment horizontal="center" vertical="center"/>
    </xf>
    <xf numFmtId="165" fontId="16" fillId="40" borderId="11" xfId="2" applyNumberFormat="1" applyFont="1" applyFill="1" applyBorder="1" applyAlignment="1" applyProtection="1">
      <alignment horizontal="center" vertical="center"/>
    </xf>
    <xf numFmtId="165" fontId="16" fillId="40" borderId="1" xfId="2" applyNumberFormat="1" applyFont="1" applyFill="1" applyBorder="1" applyAlignment="1" applyProtection="1">
      <alignment horizontal="center" vertical="center"/>
    </xf>
    <xf numFmtId="165" fontId="16" fillId="40" borderId="35" xfId="2" applyNumberFormat="1" applyFont="1" applyFill="1" applyBorder="1" applyAlignment="1" applyProtection="1">
      <alignment horizontal="center" vertical="center"/>
    </xf>
    <xf numFmtId="1" fontId="16" fillId="40" borderId="35" xfId="2" applyNumberFormat="1" applyFont="1" applyFill="1" applyBorder="1" applyAlignment="1" applyProtection="1">
      <alignment horizontal="center" vertical="center"/>
    </xf>
    <xf numFmtId="1" fontId="17" fillId="40" borderId="38" xfId="2" applyNumberFormat="1" applyFont="1" applyFill="1" applyBorder="1" applyAlignment="1" applyProtection="1">
      <alignment horizontal="center" vertical="center"/>
    </xf>
    <xf numFmtId="0" fontId="18" fillId="36" borderId="24" xfId="2" applyFont="1" applyFill="1" applyBorder="1" applyAlignment="1" applyProtection="1">
      <alignment horizontal="left" vertical="center"/>
    </xf>
    <xf numFmtId="0" fontId="18" fillId="36" borderId="38" xfId="2" applyFont="1" applyFill="1" applyBorder="1" applyAlignment="1" applyProtection="1">
      <alignment horizontal="left" vertical="center"/>
    </xf>
    <xf numFmtId="0" fontId="18" fillId="36" borderId="0" xfId="2" applyFont="1" applyFill="1" applyBorder="1" applyAlignment="1" applyProtection="1">
      <alignment horizontal="left" vertical="center"/>
    </xf>
    <xf numFmtId="0" fontId="18" fillId="36" borderId="40" xfId="2" applyFont="1" applyFill="1" applyBorder="1" applyAlignment="1" applyProtection="1">
      <alignment horizontal="left" vertical="center"/>
    </xf>
    <xf numFmtId="0" fontId="18" fillId="36" borderId="1" xfId="2" applyFont="1" applyFill="1" applyBorder="1" applyAlignment="1" applyProtection="1">
      <alignment horizontal="left" vertical="center"/>
    </xf>
    <xf numFmtId="0" fontId="18" fillId="36" borderId="35" xfId="2" applyFont="1" applyFill="1" applyBorder="1" applyAlignment="1" applyProtection="1">
      <alignment horizontal="left" vertical="center"/>
    </xf>
    <xf numFmtId="0" fontId="16" fillId="39" borderId="11" xfId="2" applyFont="1" applyFill="1" applyBorder="1" applyAlignment="1" applyProtection="1">
      <alignment horizontal="center" vertical="center"/>
    </xf>
    <xf numFmtId="0" fontId="16" fillId="39" borderId="1" xfId="2" applyFont="1" applyFill="1" applyBorder="1" applyAlignment="1" applyProtection="1">
      <alignment horizontal="center" vertical="center"/>
    </xf>
    <xf numFmtId="9" fontId="16" fillId="38" borderId="1" xfId="3" applyFont="1" applyFill="1" applyBorder="1" applyAlignment="1" applyProtection="1">
      <alignment horizontal="center" vertical="center"/>
    </xf>
    <xf numFmtId="9" fontId="16" fillId="38" borderId="35" xfId="3" applyFont="1" applyFill="1" applyBorder="1" applyAlignment="1" applyProtection="1">
      <alignment horizontal="center" vertical="center"/>
    </xf>
    <xf numFmtId="0" fontId="4" fillId="16" borderId="17" xfId="0" applyNumberFormat="1" applyFont="1" applyFill="1" applyBorder="1" applyAlignment="1" applyProtection="1">
      <alignment horizontal="center"/>
    </xf>
    <xf numFmtId="0" fontId="4" fillId="23" borderId="7" xfId="0" applyNumberFormat="1" applyFont="1" applyFill="1" applyBorder="1" applyAlignment="1" applyProtection="1">
      <alignment horizontal="center"/>
    </xf>
    <xf numFmtId="0" fontId="4" fillId="29" borderId="20" xfId="0" quotePrefix="1" applyNumberFormat="1" applyFont="1" applyFill="1" applyBorder="1" applyAlignment="1" applyProtection="1">
      <alignment horizontal="center"/>
    </xf>
    <xf numFmtId="0" fontId="4" fillId="29" borderId="20" xfId="0" applyNumberFormat="1" applyFont="1" applyFill="1" applyBorder="1" applyAlignment="1" applyProtection="1">
      <alignment horizontal="center"/>
    </xf>
    <xf numFmtId="0" fontId="4" fillId="23" borderId="8" xfId="0" applyNumberFormat="1" applyFont="1" applyFill="1" applyBorder="1" applyAlignment="1" applyProtection="1">
      <alignment horizontal="center"/>
    </xf>
    <xf numFmtId="0" fontId="4" fillId="23" borderId="9" xfId="0" applyNumberFormat="1" applyFont="1" applyFill="1" applyBorder="1" applyAlignment="1" applyProtection="1">
      <alignment horizontal="center"/>
    </xf>
    <xf numFmtId="0" fontId="4" fillId="29" borderId="3" xfId="0" applyNumberFormat="1" applyFont="1" applyFill="1" applyBorder="1" applyAlignment="1" applyProtection="1">
      <alignment horizontal="center"/>
    </xf>
    <xf numFmtId="0" fontId="4" fillId="29" borderId="4" xfId="0" applyNumberFormat="1" applyFont="1" applyFill="1" applyBorder="1" applyAlignment="1" applyProtection="1">
      <alignment horizontal="center"/>
    </xf>
    <xf numFmtId="0" fontId="4" fillId="29" borderId="55" xfId="0" applyNumberFormat="1" applyFont="1" applyFill="1" applyBorder="1" applyAlignment="1" applyProtection="1">
      <alignment horizontal="center"/>
    </xf>
    <xf numFmtId="0" fontId="19" fillId="37" borderId="14" xfId="5" applyFont="1" applyFill="1" applyBorder="1" applyAlignment="1">
      <alignment horizontal="center"/>
    </xf>
    <xf numFmtId="0" fontId="19" fillId="37" borderId="10" xfId="5" applyFont="1" applyFill="1" applyBorder="1" applyAlignment="1">
      <alignment horizontal="center"/>
    </xf>
  </cellXfs>
  <cellStyles count="7">
    <cellStyle name="Commentaire" xfId="6" builtinId="10"/>
    <cellStyle name="Milliers" xfId="1" builtinId="3"/>
    <cellStyle name="Monétaire_Fallout_FeuilleJoueur_v2" xfId="4"/>
    <cellStyle name="Normal" xfId="0" builtinId="0"/>
    <cellStyle name="Normal 2" xfId="5"/>
    <cellStyle name="Normal_Fallout_FeuilleJoueur_v2" xfId="2"/>
    <cellStyle name="Pourcentag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5.jpg"/></Relationships>
</file>

<file path=xl/drawings/drawing1.xml><?xml version="1.0" encoding="utf-8"?>
<xdr:wsDr xmlns:xdr="http://schemas.openxmlformats.org/drawingml/2006/spreadsheetDrawing" xmlns:a="http://schemas.openxmlformats.org/drawingml/2006/main">
  <xdr:twoCellAnchor editAs="oneCell">
    <xdr:from>
      <xdr:col>3</xdr:col>
      <xdr:colOff>28575</xdr:colOff>
      <xdr:row>162</xdr:row>
      <xdr:rowOff>28575</xdr:rowOff>
    </xdr:from>
    <xdr:to>
      <xdr:col>14</xdr:col>
      <xdr:colOff>152400</xdr:colOff>
      <xdr:row>181</xdr:row>
      <xdr:rowOff>51288</xdr:rowOff>
    </xdr:to>
    <xdr:pic>
      <xdr:nvPicPr>
        <xdr:cNvPr id="2" name="Picture 1" descr="pipboycre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26260425"/>
          <a:ext cx="1905000" cy="3095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0</xdr:row>
      <xdr:rowOff>19050</xdr:rowOff>
    </xdr:from>
    <xdr:to>
      <xdr:col>18</xdr:col>
      <xdr:colOff>57150</xdr:colOff>
      <xdr:row>21</xdr:row>
      <xdr:rowOff>0</xdr:rowOff>
    </xdr:to>
    <xdr:pic>
      <xdr:nvPicPr>
        <xdr:cNvPr id="3" name="Image 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19050"/>
          <a:ext cx="2876550" cy="3381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114300</xdr:colOff>
      <xdr:row>66</xdr:row>
      <xdr:rowOff>9525</xdr:rowOff>
    </xdr:from>
    <xdr:to>
      <xdr:col>16</xdr:col>
      <xdr:colOff>0</xdr:colOff>
      <xdr:row>80</xdr:row>
      <xdr:rowOff>47624</xdr:rowOff>
    </xdr:to>
    <xdr:pic>
      <xdr:nvPicPr>
        <xdr:cNvPr id="4" name="Picture 3" descr="corp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33550" y="10696575"/>
          <a:ext cx="857250" cy="23050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123825</xdr:colOff>
      <xdr:row>21</xdr:row>
      <xdr:rowOff>0</xdr:rowOff>
    </xdr:from>
    <xdr:to>
      <xdr:col>3</xdr:col>
      <xdr:colOff>114300</xdr:colOff>
      <xdr:row>35</xdr:row>
      <xdr:rowOff>126024</xdr:rowOff>
    </xdr:to>
    <xdr:pic>
      <xdr:nvPicPr>
        <xdr:cNvPr id="5" name="Picture 66" descr="art-empathy"/>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3825" y="1201615"/>
          <a:ext cx="591283" cy="917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9525</xdr:colOff>
      <xdr:row>1</xdr:row>
      <xdr:rowOff>9525</xdr:rowOff>
    </xdr:from>
    <xdr:to>
      <xdr:col>19</xdr:col>
      <xdr:colOff>0</xdr:colOff>
      <xdr:row>16</xdr:row>
      <xdr:rowOff>209550</xdr:rowOff>
    </xdr:to>
    <xdr:pic>
      <xdr:nvPicPr>
        <xdr:cNvPr id="34" name="Image 3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86700" y="228600"/>
          <a:ext cx="3838575" cy="3429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T184"/>
  <sheetViews>
    <sheetView view="pageBreakPreview" topLeftCell="A5" zoomScale="130" zoomScaleNormal="55" zoomScaleSheetLayoutView="130" workbookViewId="0">
      <selection activeCell="H55" sqref="H55:J56"/>
    </sheetView>
  </sheetViews>
  <sheetFormatPr baseColWidth="10" defaultColWidth="2.42578125" defaultRowHeight="5.0999999999999996" customHeight="1"/>
  <cols>
    <col min="1" max="1" width="2.42578125" style="279" customWidth="1"/>
    <col min="2" max="2" width="4.140625" style="279" customWidth="1"/>
    <col min="3" max="5" width="2.42578125" style="279" customWidth="1"/>
    <col min="6" max="6" width="4.5703125" style="279" customWidth="1"/>
    <col min="7" max="13" width="2.42578125" style="279" customWidth="1"/>
    <col min="14" max="14" width="3.85546875" style="279" customWidth="1"/>
    <col min="15" max="17" width="2.42578125" style="279" customWidth="1"/>
    <col min="18" max="18" width="4" style="279" customWidth="1"/>
    <col min="19" max="19" width="1.28515625" style="279" hidden="1" customWidth="1"/>
    <col min="20" max="20" width="1.85546875" style="279" customWidth="1"/>
    <col min="21" max="21" width="4.140625" style="279" customWidth="1"/>
    <col min="22" max="23" width="2.42578125" style="279"/>
    <col min="24" max="24" width="4.5703125" style="279" customWidth="1"/>
    <col min="25" max="25" width="2.42578125" style="279"/>
    <col min="26" max="26" width="12.42578125" style="279" customWidth="1"/>
    <col min="27" max="28" width="2.42578125" style="279"/>
    <col min="29" max="29" width="4.140625" style="279" customWidth="1"/>
    <col min="30" max="30" width="4.85546875" style="279" customWidth="1"/>
    <col min="31" max="31" width="5.140625" style="279" hidden="1" customWidth="1"/>
    <col min="32" max="32" width="5" style="279" customWidth="1"/>
    <col min="33" max="33" width="5.85546875" style="279" customWidth="1"/>
    <col min="34" max="35" width="2.28515625" style="279" customWidth="1"/>
    <col min="36" max="36" width="5.7109375" style="279" customWidth="1"/>
    <col min="37" max="37" width="3.85546875" style="279" customWidth="1"/>
    <col min="38" max="39" width="5" style="279" customWidth="1"/>
    <col min="40" max="40" width="5.5703125" style="279" customWidth="1"/>
    <col min="41" max="41" width="7.140625" style="279" customWidth="1"/>
    <col min="42" max="42" width="2.42578125" style="279" customWidth="1"/>
    <col min="43" max="16384" width="2.42578125" style="279"/>
  </cols>
  <sheetData>
    <row r="1" spans="2:46" ht="5.0999999999999996" customHeight="1">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1"/>
      <c r="AR1" s="281"/>
      <c r="AS1" s="281"/>
      <c r="AT1" s="281"/>
    </row>
    <row r="2" spans="2:46" ht="5.0999999999999996" customHeight="1">
      <c r="R2" s="282"/>
      <c r="S2" s="282"/>
      <c r="U2" s="544" t="s">
        <v>767</v>
      </c>
      <c r="V2" s="535" t="s">
        <v>142</v>
      </c>
      <c r="W2" s="536"/>
      <c r="X2" s="536"/>
      <c r="Y2" s="537"/>
      <c r="Z2" s="550"/>
      <c r="AA2" s="550"/>
      <c r="AB2" s="550"/>
      <c r="AC2" s="550"/>
      <c r="AD2" s="550"/>
      <c r="AE2" s="550"/>
      <c r="AF2" s="550"/>
      <c r="AG2" s="550"/>
      <c r="AH2" s="550"/>
      <c r="AI2" s="550"/>
      <c r="AJ2" s="464" t="s">
        <v>744</v>
      </c>
      <c r="AK2" s="456"/>
      <c r="AL2" s="507"/>
      <c r="AM2" s="442"/>
      <c r="AN2" s="442"/>
      <c r="AO2" s="442"/>
      <c r="AP2" s="443"/>
      <c r="AQ2" s="281"/>
      <c r="AR2" s="281"/>
      <c r="AS2" s="281"/>
      <c r="AT2" s="281"/>
    </row>
    <row r="3" spans="2:46" ht="5.0999999999999996" customHeight="1">
      <c r="R3" s="282"/>
      <c r="S3" s="282"/>
      <c r="U3" s="545"/>
      <c r="V3" s="538"/>
      <c r="W3" s="539"/>
      <c r="X3" s="539"/>
      <c r="Y3" s="540"/>
      <c r="Z3" s="551"/>
      <c r="AA3" s="551"/>
      <c r="AB3" s="551"/>
      <c r="AC3" s="551"/>
      <c r="AD3" s="551"/>
      <c r="AE3" s="551"/>
      <c r="AF3" s="551"/>
      <c r="AG3" s="551"/>
      <c r="AH3" s="551"/>
      <c r="AI3" s="551"/>
      <c r="AJ3" s="547"/>
      <c r="AK3" s="548"/>
      <c r="AL3" s="549"/>
      <c r="AM3" s="445"/>
      <c r="AN3" s="445"/>
      <c r="AO3" s="445"/>
      <c r="AP3" s="446"/>
      <c r="AQ3" s="281"/>
      <c r="AR3" s="281"/>
      <c r="AS3" s="281"/>
      <c r="AT3" s="281"/>
    </row>
    <row r="4" spans="2:46" ht="5.0999999999999996" customHeight="1">
      <c r="R4" s="282"/>
      <c r="S4" s="282"/>
      <c r="U4" s="545"/>
      <c r="V4" s="541"/>
      <c r="W4" s="542"/>
      <c r="X4" s="542"/>
      <c r="Y4" s="543"/>
      <c r="Z4" s="551"/>
      <c r="AA4" s="551"/>
      <c r="AB4" s="551"/>
      <c r="AC4" s="551"/>
      <c r="AD4" s="551"/>
      <c r="AE4" s="551"/>
      <c r="AF4" s="551"/>
      <c r="AG4" s="551"/>
      <c r="AH4" s="551"/>
      <c r="AI4" s="551"/>
      <c r="AJ4" s="465"/>
      <c r="AK4" s="458"/>
      <c r="AL4" s="508"/>
      <c r="AM4" s="445"/>
      <c r="AN4" s="445"/>
      <c r="AO4" s="445"/>
      <c r="AP4" s="446"/>
      <c r="AQ4" s="281"/>
      <c r="AR4" s="281"/>
      <c r="AS4" s="281"/>
      <c r="AT4" s="281"/>
    </row>
    <row r="5" spans="2:46" ht="5.0999999999999996" customHeight="1">
      <c r="U5" s="545"/>
      <c r="V5" s="283"/>
      <c r="AP5" s="284"/>
      <c r="AQ5" s="281"/>
      <c r="AR5" s="281"/>
      <c r="AS5" s="281"/>
      <c r="AT5" s="281"/>
    </row>
    <row r="6" spans="2:46" ht="5.0999999999999996" customHeight="1">
      <c r="U6" s="545"/>
      <c r="V6" s="535" t="s">
        <v>766</v>
      </c>
      <c r="W6" s="536"/>
      <c r="X6" s="536"/>
      <c r="Y6" s="537"/>
      <c r="Z6" s="445"/>
      <c r="AA6" s="445"/>
      <c r="AB6" s="445"/>
      <c r="AC6" s="445"/>
      <c r="AD6" s="445"/>
      <c r="AE6" s="445"/>
      <c r="AF6" s="535" t="s">
        <v>669</v>
      </c>
      <c r="AG6" s="537"/>
      <c r="AH6" s="445"/>
      <c r="AI6" s="445"/>
      <c r="AJ6" s="535" t="s">
        <v>765</v>
      </c>
      <c r="AK6" s="536"/>
      <c r="AL6" s="537"/>
      <c r="AM6" s="445"/>
      <c r="AN6" s="445"/>
      <c r="AO6" s="445"/>
      <c r="AP6" s="446"/>
      <c r="AQ6" s="281"/>
      <c r="AR6" s="281"/>
      <c r="AS6" s="281"/>
      <c r="AT6" s="281"/>
    </row>
    <row r="7" spans="2:46" ht="5.0999999999999996" customHeight="1">
      <c r="S7" s="285"/>
      <c r="U7" s="545"/>
      <c r="V7" s="538"/>
      <c r="W7" s="539"/>
      <c r="X7" s="539"/>
      <c r="Y7" s="540"/>
      <c r="Z7" s="445"/>
      <c r="AA7" s="445"/>
      <c r="AB7" s="445"/>
      <c r="AC7" s="445"/>
      <c r="AD7" s="445"/>
      <c r="AE7" s="445"/>
      <c r="AF7" s="538"/>
      <c r="AG7" s="540"/>
      <c r="AH7" s="445"/>
      <c r="AI7" s="445"/>
      <c r="AJ7" s="538"/>
      <c r="AK7" s="539"/>
      <c r="AL7" s="540"/>
      <c r="AM7" s="445"/>
      <c r="AN7" s="445"/>
      <c r="AO7" s="445"/>
      <c r="AP7" s="446"/>
      <c r="AQ7" s="281"/>
      <c r="AR7" s="281"/>
      <c r="AS7" s="281"/>
      <c r="AT7" s="281"/>
    </row>
    <row r="8" spans="2:46" ht="5.0999999999999996" customHeight="1">
      <c r="S8" s="285"/>
      <c r="U8" s="545"/>
      <c r="V8" s="541"/>
      <c r="W8" s="542"/>
      <c r="X8" s="542"/>
      <c r="Y8" s="543"/>
      <c r="Z8" s="445"/>
      <c r="AA8" s="445"/>
      <c r="AB8" s="445"/>
      <c r="AC8" s="445"/>
      <c r="AD8" s="445"/>
      <c r="AE8" s="445"/>
      <c r="AF8" s="541"/>
      <c r="AG8" s="543"/>
      <c r="AH8" s="445"/>
      <c r="AI8" s="445"/>
      <c r="AJ8" s="541"/>
      <c r="AK8" s="542"/>
      <c r="AL8" s="543"/>
      <c r="AM8" s="445"/>
      <c r="AN8" s="445"/>
      <c r="AO8" s="445"/>
      <c r="AP8" s="446"/>
      <c r="AQ8" s="281"/>
      <c r="AR8" s="281"/>
      <c r="AS8" s="281"/>
      <c r="AT8" s="281"/>
    </row>
    <row r="9" spans="2:46" ht="5.0999999999999996" customHeight="1">
      <c r="S9" s="285"/>
      <c r="U9" s="545"/>
      <c r="V9" s="283"/>
      <c r="AH9" s="280"/>
      <c r="AP9" s="284"/>
      <c r="AQ9" s="281"/>
      <c r="AR9" s="281"/>
      <c r="AS9" s="281"/>
      <c r="AT9" s="281"/>
    </row>
    <row r="10" spans="2:46" ht="5.0999999999999996" customHeight="1">
      <c r="S10" s="285"/>
      <c r="U10" s="545"/>
      <c r="V10" s="535" t="s">
        <v>764</v>
      </c>
      <c r="W10" s="536"/>
      <c r="X10" s="536"/>
      <c r="Y10" s="537"/>
      <c r="Z10" s="445">
        <v>0</v>
      </c>
      <c r="AA10" s="445"/>
      <c r="AB10" s="445"/>
      <c r="AC10" s="445"/>
      <c r="AD10" s="445"/>
      <c r="AE10" s="445"/>
      <c r="AF10" s="535" t="s">
        <v>763</v>
      </c>
      <c r="AG10" s="537"/>
      <c r="AH10" s="445"/>
      <c r="AI10" s="445"/>
      <c r="AJ10" s="535" t="s">
        <v>11</v>
      </c>
      <c r="AK10" s="536"/>
      <c r="AL10" s="537"/>
      <c r="AM10" s="445"/>
      <c r="AN10" s="445"/>
      <c r="AO10" s="445"/>
      <c r="AP10" s="446"/>
      <c r="AQ10" s="281"/>
      <c r="AR10" s="281"/>
      <c r="AS10" s="281"/>
      <c r="AT10" s="281"/>
    </row>
    <row r="11" spans="2:46" ht="5.0999999999999996" customHeight="1">
      <c r="S11" s="285"/>
      <c r="U11" s="545"/>
      <c r="V11" s="538"/>
      <c r="W11" s="539"/>
      <c r="X11" s="539"/>
      <c r="Y11" s="540"/>
      <c r="Z11" s="445"/>
      <c r="AA11" s="445"/>
      <c r="AB11" s="445"/>
      <c r="AC11" s="445"/>
      <c r="AD11" s="445"/>
      <c r="AE11" s="445"/>
      <c r="AF11" s="538"/>
      <c r="AG11" s="540"/>
      <c r="AH11" s="445"/>
      <c r="AI11" s="445"/>
      <c r="AJ11" s="538"/>
      <c r="AK11" s="539"/>
      <c r="AL11" s="540"/>
      <c r="AM11" s="445"/>
      <c r="AN11" s="445"/>
      <c r="AO11" s="445"/>
      <c r="AP11" s="446"/>
      <c r="AQ11" s="281"/>
      <c r="AR11" s="281"/>
      <c r="AS11" s="281"/>
      <c r="AT11" s="281"/>
    </row>
    <row r="12" spans="2:46" ht="5.0999999999999996" customHeight="1">
      <c r="S12" s="285"/>
      <c r="U12" s="545"/>
      <c r="V12" s="541"/>
      <c r="W12" s="542"/>
      <c r="X12" s="542"/>
      <c r="Y12" s="543"/>
      <c r="Z12" s="445"/>
      <c r="AA12" s="445"/>
      <c r="AB12" s="445"/>
      <c r="AC12" s="445"/>
      <c r="AD12" s="445"/>
      <c r="AE12" s="445"/>
      <c r="AF12" s="541"/>
      <c r="AG12" s="543"/>
      <c r="AH12" s="445"/>
      <c r="AI12" s="445"/>
      <c r="AJ12" s="541"/>
      <c r="AK12" s="542"/>
      <c r="AL12" s="543"/>
      <c r="AM12" s="445"/>
      <c r="AN12" s="445"/>
      <c r="AO12" s="445"/>
      <c r="AP12" s="446"/>
      <c r="AQ12" s="281"/>
      <c r="AR12" s="281"/>
      <c r="AS12" s="281"/>
      <c r="AT12" s="281"/>
    </row>
    <row r="13" spans="2:46" ht="5.0999999999999996" customHeight="1">
      <c r="R13" s="285"/>
      <c r="S13" s="285"/>
      <c r="U13" s="545"/>
      <c r="V13" s="283"/>
      <c r="AP13" s="284"/>
      <c r="AQ13" s="281"/>
      <c r="AR13" s="281"/>
      <c r="AS13" s="281"/>
      <c r="AT13" s="281"/>
    </row>
    <row r="14" spans="2:46" ht="5.0999999999999996" customHeight="1">
      <c r="R14" s="285"/>
      <c r="S14" s="285"/>
      <c r="U14" s="545"/>
      <c r="V14" s="535" t="s">
        <v>762</v>
      </c>
      <c r="W14" s="536"/>
      <c r="X14" s="536"/>
      <c r="Y14" s="537"/>
      <c r="Z14" s="445"/>
      <c r="AA14" s="445"/>
      <c r="AB14" s="445"/>
      <c r="AC14" s="445"/>
      <c r="AD14" s="445"/>
      <c r="AE14" s="445"/>
      <c r="AF14" s="535" t="s">
        <v>761</v>
      </c>
      <c r="AG14" s="537"/>
      <c r="AH14" s="445"/>
      <c r="AI14" s="445"/>
      <c r="AJ14" s="535" t="s">
        <v>760</v>
      </c>
      <c r="AK14" s="536"/>
      <c r="AL14" s="537"/>
      <c r="AM14" s="445"/>
      <c r="AN14" s="445"/>
      <c r="AO14" s="445"/>
      <c r="AP14" s="446"/>
      <c r="AQ14" s="281"/>
      <c r="AR14" s="281"/>
      <c r="AS14" s="281"/>
      <c r="AT14" s="281"/>
    </row>
    <row r="15" spans="2:46" ht="5.0999999999999996" customHeight="1">
      <c r="R15" s="285"/>
      <c r="S15" s="285"/>
      <c r="U15" s="545"/>
      <c r="V15" s="538"/>
      <c r="W15" s="539"/>
      <c r="X15" s="539"/>
      <c r="Y15" s="540"/>
      <c r="Z15" s="445"/>
      <c r="AA15" s="445"/>
      <c r="AB15" s="445"/>
      <c r="AC15" s="445"/>
      <c r="AD15" s="445"/>
      <c r="AE15" s="445"/>
      <c r="AF15" s="538"/>
      <c r="AG15" s="540"/>
      <c r="AH15" s="445"/>
      <c r="AI15" s="445"/>
      <c r="AJ15" s="538"/>
      <c r="AK15" s="539"/>
      <c r="AL15" s="540"/>
      <c r="AM15" s="445"/>
      <c r="AN15" s="445"/>
      <c r="AO15" s="445"/>
      <c r="AP15" s="446"/>
      <c r="AQ15" s="281"/>
      <c r="AR15" s="281"/>
      <c r="AS15" s="281"/>
      <c r="AT15" s="281"/>
    </row>
    <row r="16" spans="2:46" ht="5.0999999999999996" customHeight="1">
      <c r="B16" s="282"/>
      <c r="R16" s="285"/>
      <c r="S16" s="285"/>
      <c r="U16" s="545"/>
      <c r="V16" s="541"/>
      <c r="W16" s="542"/>
      <c r="X16" s="542"/>
      <c r="Y16" s="543"/>
      <c r="Z16" s="445"/>
      <c r="AA16" s="445"/>
      <c r="AB16" s="445"/>
      <c r="AC16" s="445"/>
      <c r="AD16" s="445"/>
      <c r="AE16" s="445"/>
      <c r="AF16" s="541"/>
      <c r="AG16" s="543"/>
      <c r="AH16" s="445"/>
      <c r="AI16" s="445"/>
      <c r="AJ16" s="541"/>
      <c r="AK16" s="542"/>
      <c r="AL16" s="543"/>
      <c r="AM16" s="445"/>
      <c r="AN16" s="445"/>
      <c r="AO16" s="445"/>
      <c r="AP16" s="446"/>
      <c r="AQ16" s="281"/>
      <c r="AR16" s="281"/>
      <c r="AS16" s="281"/>
      <c r="AT16" s="281"/>
    </row>
    <row r="17" spans="4:46" ht="5.0999999999999996" customHeight="1">
      <c r="R17" s="285"/>
      <c r="S17" s="285"/>
      <c r="U17" s="545"/>
      <c r="V17" s="286"/>
      <c r="W17" s="280"/>
      <c r="X17" s="280"/>
      <c r="Z17" s="445"/>
      <c r="AA17" s="445"/>
      <c r="AB17" s="445"/>
      <c r="AC17" s="445"/>
      <c r="AD17" s="445"/>
      <c r="AE17" s="445"/>
      <c r="AP17" s="284"/>
      <c r="AQ17" s="281"/>
      <c r="AR17" s="281"/>
      <c r="AS17" s="281"/>
      <c r="AT17" s="281"/>
    </row>
    <row r="18" spans="4:46" ht="3.95" customHeight="1">
      <c r="R18" s="285"/>
      <c r="S18" s="285"/>
      <c r="U18" s="545"/>
      <c r="V18" s="283"/>
      <c r="Z18" s="445"/>
      <c r="AA18" s="445"/>
      <c r="AB18" s="445"/>
      <c r="AC18" s="445"/>
      <c r="AD18" s="445"/>
      <c r="AE18" s="445"/>
      <c r="AF18" s="535" t="s">
        <v>759</v>
      </c>
      <c r="AG18" s="537"/>
      <c r="AH18" s="445"/>
      <c r="AI18" s="445"/>
      <c r="AJ18" s="535" t="s">
        <v>758</v>
      </c>
      <c r="AK18" s="536"/>
      <c r="AL18" s="537"/>
      <c r="AM18" s="445"/>
      <c r="AN18" s="445"/>
      <c r="AO18" s="445"/>
      <c r="AP18" s="446"/>
      <c r="AQ18" s="281"/>
      <c r="AR18" s="281"/>
      <c r="AS18" s="281"/>
      <c r="AT18" s="281"/>
    </row>
    <row r="19" spans="4:46" ht="3.95" customHeight="1">
      <c r="R19" s="285"/>
      <c r="S19" s="285"/>
      <c r="U19" s="545"/>
      <c r="V19" s="283"/>
      <c r="Z19" s="445"/>
      <c r="AA19" s="445"/>
      <c r="AB19" s="445"/>
      <c r="AC19" s="445"/>
      <c r="AD19" s="445"/>
      <c r="AE19" s="445"/>
      <c r="AF19" s="538"/>
      <c r="AG19" s="540"/>
      <c r="AH19" s="445"/>
      <c r="AI19" s="445"/>
      <c r="AJ19" s="538"/>
      <c r="AK19" s="539"/>
      <c r="AL19" s="540"/>
      <c r="AM19" s="445"/>
      <c r="AN19" s="445"/>
      <c r="AO19" s="445"/>
      <c r="AP19" s="446"/>
      <c r="AQ19" s="281"/>
      <c r="AR19" s="281"/>
      <c r="AS19" s="281"/>
      <c r="AT19" s="281"/>
    </row>
    <row r="20" spans="4:46" ht="3.95" customHeight="1">
      <c r="R20" s="285"/>
      <c r="S20" s="285"/>
      <c r="U20" s="546"/>
      <c r="V20" s="287"/>
      <c r="W20" s="288"/>
      <c r="X20" s="288"/>
      <c r="Y20" s="288"/>
      <c r="Z20" s="448"/>
      <c r="AA20" s="448"/>
      <c r="AB20" s="448"/>
      <c r="AC20" s="448"/>
      <c r="AD20" s="448"/>
      <c r="AE20" s="448"/>
      <c r="AF20" s="541"/>
      <c r="AG20" s="543"/>
      <c r="AH20" s="448"/>
      <c r="AI20" s="448"/>
      <c r="AJ20" s="541"/>
      <c r="AK20" s="542"/>
      <c r="AL20" s="543"/>
      <c r="AM20" s="448"/>
      <c r="AN20" s="448"/>
      <c r="AO20" s="448"/>
      <c r="AP20" s="449"/>
      <c r="AQ20" s="281"/>
      <c r="AR20" s="281"/>
      <c r="AS20" s="281"/>
      <c r="AT20" s="281"/>
    </row>
    <row r="21" spans="4:46" ht="9" customHeight="1">
      <c r="D21" s="285"/>
      <c r="R21" s="285"/>
      <c r="S21" s="285"/>
      <c r="AQ21" s="281"/>
      <c r="AR21" s="281"/>
      <c r="AS21" s="281"/>
      <c r="AT21" s="281"/>
    </row>
    <row r="22" spans="4:46" ht="5.0999999999999996" customHeight="1">
      <c r="D22" s="285"/>
      <c r="F22" s="531" t="s">
        <v>757</v>
      </c>
      <c r="G22" s="565">
        <f>40-SUM(J26:AP27)</f>
        <v>40</v>
      </c>
      <c r="H22" s="519"/>
      <c r="I22" s="520"/>
      <c r="J22" s="570" t="s">
        <v>756</v>
      </c>
      <c r="K22" s="570"/>
      <c r="L22" s="570"/>
      <c r="M22" s="570"/>
      <c r="N22" s="564" t="s">
        <v>755</v>
      </c>
      <c r="O22" s="564"/>
      <c r="P22" s="564"/>
      <c r="Q22" s="564"/>
      <c r="R22" s="564"/>
      <c r="S22" s="564" t="s">
        <v>754</v>
      </c>
      <c r="T22" s="564"/>
      <c r="U22" s="564"/>
      <c r="V22" s="564"/>
      <c r="W22" s="564"/>
      <c r="X22" s="564"/>
      <c r="Y22" s="564" t="s">
        <v>753</v>
      </c>
      <c r="Z22" s="564"/>
      <c r="AA22" s="564"/>
      <c r="AB22" s="564"/>
      <c r="AC22" s="564"/>
      <c r="AD22" s="564" t="s">
        <v>752</v>
      </c>
      <c r="AE22" s="564"/>
      <c r="AF22" s="564"/>
      <c r="AG22" s="564"/>
      <c r="AH22" s="564"/>
      <c r="AI22" s="564" t="s">
        <v>751</v>
      </c>
      <c r="AJ22" s="564"/>
      <c r="AK22" s="564"/>
      <c r="AL22" s="564"/>
      <c r="AM22" s="564" t="s">
        <v>750</v>
      </c>
      <c r="AN22" s="564"/>
      <c r="AO22" s="564"/>
      <c r="AP22" s="564"/>
      <c r="AQ22" s="281"/>
      <c r="AR22" s="281"/>
      <c r="AS22" s="281"/>
      <c r="AT22" s="281"/>
    </row>
    <row r="23" spans="4:46" ht="5.0999999999999996" customHeight="1">
      <c r="D23" s="285"/>
      <c r="F23" s="532"/>
      <c r="G23" s="566"/>
      <c r="H23" s="567"/>
      <c r="I23" s="568"/>
      <c r="J23" s="570"/>
      <c r="K23" s="570"/>
      <c r="L23" s="570"/>
      <c r="M23" s="570"/>
      <c r="N23" s="564"/>
      <c r="O23" s="564"/>
      <c r="P23" s="564"/>
      <c r="Q23" s="564"/>
      <c r="R23" s="564"/>
      <c r="S23" s="564"/>
      <c r="T23" s="564"/>
      <c r="U23" s="564"/>
      <c r="V23" s="564"/>
      <c r="W23" s="564"/>
      <c r="X23" s="564"/>
      <c r="Y23" s="564"/>
      <c r="Z23" s="564"/>
      <c r="AA23" s="564"/>
      <c r="AB23" s="564"/>
      <c r="AC23" s="564"/>
      <c r="AD23" s="564"/>
      <c r="AE23" s="564"/>
      <c r="AF23" s="564"/>
      <c r="AG23" s="564"/>
      <c r="AH23" s="564"/>
      <c r="AI23" s="564"/>
      <c r="AJ23" s="564"/>
      <c r="AK23" s="564"/>
      <c r="AL23" s="564"/>
      <c r="AM23" s="564"/>
      <c r="AN23" s="564"/>
      <c r="AO23" s="564"/>
      <c r="AP23" s="564"/>
      <c r="AQ23" s="281"/>
      <c r="AR23" s="281"/>
      <c r="AS23" s="281"/>
      <c r="AT23" s="281"/>
    </row>
    <row r="24" spans="4:46" ht="5.0999999999999996" customHeight="1">
      <c r="D24" s="285"/>
      <c r="F24" s="532"/>
      <c r="G24" s="569"/>
      <c r="H24" s="521"/>
      <c r="I24" s="522"/>
      <c r="J24" s="570"/>
      <c r="K24" s="570"/>
      <c r="L24" s="570"/>
      <c r="M24" s="570"/>
      <c r="N24" s="564"/>
      <c r="O24" s="564"/>
      <c r="P24" s="564"/>
      <c r="Q24" s="564"/>
      <c r="R24" s="564"/>
      <c r="S24" s="564"/>
      <c r="T24" s="564"/>
      <c r="U24" s="564"/>
      <c r="V24" s="564"/>
      <c r="W24" s="564"/>
      <c r="X24" s="564"/>
      <c r="Y24" s="564"/>
      <c r="Z24" s="564"/>
      <c r="AA24" s="564"/>
      <c r="AB24" s="564"/>
      <c r="AC24" s="564"/>
      <c r="AD24" s="564"/>
      <c r="AE24" s="564"/>
      <c r="AF24" s="564"/>
      <c r="AG24" s="564"/>
      <c r="AH24" s="564"/>
      <c r="AI24" s="564"/>
      <c r="AJ24" s="564"/>
      <c r="AK24" s="564"/>
      <c r="AL24" s="564"/>
      <c r="AM24" s="564"/>
      <c r="AN24" s="564"/>
      <c r="AO24" s="564"/>
      <c r="AP24" s="564"/>
      <c r="AQ24" s="281"/>
      <c r="AR24" s="281"/>
      <c r="AS24" s="281"/>
      <c r="AT24" s="281"/>
    </row>
    <row r="25" spans="4:46" ht="5.0999999999999996" customHeight="1" thickBot="1">
      <c r="D25" s="285"/>
      <c r="F25" s="532"/>
      <c r="G25" s="283"/>
      <c r="R25" s="285"/>
      <c r="S25" s="285"/>
      <c r="AP25" s="284"/>
      <c r="AQ25" s="281"/>
      <c r="AR25" s="281"/>
      <c r="AS25" s="281"/>
      <c r="AT25" s="281"/>
    </row>
    <row r="26" spans="4:46" ht="6" customHeight="1">
      <c r="D26" s="285"/>
      <c r="F26" s="532"/>
      <c r="G26" s="464" t="s">
        <v>745</v>
      </c>
      <c r="H26" s="456"/>
      <c r="I26" s="456"/>
      <c r="J26" s="582"/>
      <c r="K26" s="583"/>
      <c r="L26" s="583"/>
      <c r="M26" s="584"/>
      <c r="N26" s="529"/>
      <c r="O26" s="529"/>
      <c r="P26" s="529"/>
      <c r="Q26" s="529"/>
      <c r="R26" s="529"/>
      <c r="S26" s="529"/>
      <c r="T26" s="529"/>
      <c r="U26" s="529"/>
      <c r="V26" s="529"/>
      <c r="W26" s="529"/>
      <c r="X26" s="529"/>
      <c r="Y26" s="529"/>
      <c r="Z26" s="529"/>
      <c r="AA26" s="529"/>
      <c r="AB26" s="529"/>
      <c r="AC26" s="529"/>
      <c r="AD26" s="529"/>
      <c r="AE26" s="529"/>
      <c r="AF26" s="529"/>
      <c r="AG26" s="529"/>
      <c r="AH26" s="529"/>
      <c r="AI26" s="529"/>
      <c r="AJ26" s="529"/>
      <c r="AK26" s="529"/>
      <c r="AL26" s="529"/>
      <c r="AM26" s="529"/>
      <c r="AN26" s="529"/>
      <c r="AO26" s="529"/>
      <c r="AP26" s="529"/>
      <c r="AQ26" s="281"/>
      <c r="AR26" s="281"/>
      <c r="AS26" s="281"/>
      <c r="AT26" s="281"/>
    </row>
    <row r="27" spans="4:46" ht="5.0999999999999996" customHeight="1" thickBot="1">
      <c r="D27" s="285"/>
      <c r="F27" s="532"/>
      <c r="G27" s="465"/>
      <c r="H27" s="458"/>
      <c r="I27" s="458"/>
      <c r="J27" s="585"/>
      <c r="K27" s="586"/>
      <c r="L27" s="586"/>
      <c r="M27" s="587"/>
      <c r="N27" s="530"/>
      <c r="O27" s="530"/>
      <c r="P27" s="530"/>
      <c r="Q27" s="530"/>
      <c r="R27" s="530"/>
      <c r="S27" s="530"/>
      <c r="T27" s="530"/>
      <c r="U27" s="530"/>
      <c r="V27" s="530"/>
      <c r="W27" s="530"/>
      <c r="X27" s="530"/>
      <c r="Y27" s="530"/>
      <c r="Z27" s="530"/>
      <c r="AA27" s="530"/>
      <c r="AB27" s="530"/>
      <c r="AC27" s="530"/>
      <c r="AD27" s="530"/>
      <c r="AE27" s="530"/>
      <c r="AF27" s="530"/>
      <c r="AG27" s="530"/>
      <c r="AH27" s="530"/>
      <c r="AI27" s="530"/>
      <c r="AJ27" s="530"/>
      <c r="AK27" s="530"/>
      <c r="AL27" s="530"/>
      <c r="AM27" s="530"/>
      <c r="AN27" s="530"/>
      <c r="AO27" s="530"/>
      <c r="AP27" s="530"/>
      <c r="AQ27" s="281"/>
      <c r="AR27" s="281"/>
      <c r="AS27" s="281"/>
      <c r="AT27" s="281"/>
    </row>
    <row r="28" spans="4:46" ht="5.0999999999999996" customHeight="1">
      <c r="D28" s="285"/>
      <c r="F28" s="532"/>
      <c r="G28" s="283"/>
      <c r="AP28" s="284"/>
      <c r="AQ28" s="281"/>
      <c r="AR28" s="281"/>
      <c r="AS28" s="281"/>
      <c r="AT28" s="281"/>
    </row>
    <row r="29" spans="4:46" ht="5.0999999999999996" customHeight="1">
      <c r="D29" s="285"/>
      <c r="F29" s="532"/>
      <c r="G29" s="464" t="s">
        <v>748</v>
      </c>
      <c r="H29" s="456"/>
      <c r="I29" s="507"/>
      <c r="J29" s="534"/>
      <c r="K29" s="488"/>
      <c r="L29" s="488"/>
      <c r="M29" s="489"/>
      <c r="N29" s="488"/>
      <c r="O29" s="488"/>
      <c r="P29" s="488"/>
      <c r="Q29" s="488"/>
      <c r="R29" s="489"/>
      <c r="S29" s="488"/>
      <c r="T29" s="488"/>
      <c r="U29" s="488"/>
      <c r="V29" s="488"/>
      <c r="W29" s="488"/>
      <c r="X29" s="489"/>
      <c r="Y29" s="488"/>
      <c r="Z29" s="488"/>
      <c r="AA29" s="488"/>
      <c r="AB29" s="488"/>
      <c r="AC29" s="489"/>
      <c r="AD29" s="488"/>
      <c r="AE29" s="488"/>
      <c r="AF29" s="488"/>
      <c r="AG29" s="488"/>
      <c r="AH29" s="489"/>
      <c r="AI29" s="488"/>
      <c r="AJ29" s="488"/>
      <c r="AK29" s="488"/>
      <c r="AL29" s="489"/>
      <c r="AM29" s="488"/>
      <c r="AN29" s="488"/>
      <c r="AO29" s="488"/>
      <c r="AP29" s="489"/>
      <c r="AQ29" s="281"/>
      <c r="AR29" s="281"/>
      <c r="AS29" s="281"/>
      <c r="AT29" s="281"/>
    </row>
    <row r="30" spans="4:46" ht="5.0999999999999996" customHeight="1">
      <c r="D30" s="285"/>
      <c r="F30" s="532"/>
      <c r="G30" s="465"/>
      <c r="H30" s="458"/>
      <c r="I30" s="508"/>
      <c r="J30" s="534"/>
      <c r="K30" s="488"/>
      <c r="L30" s="488"/>
      <c r="M30" s="489"/>
      <c r="N30" s="488"/>
      <c r="O30" s="488"/>
      <c r="P30" s="488"/>
      <c r="Q30" s="488"/>
      <c r="R30" s="489"/>
      <c r="S30" s="488"/>
      <c r="T30" s="488"/>
      <c r="U30" s="488"/>
      <c r="V30" s="488"/>
      <c r="W30" s="488"/>
      <c r="X30" s="489"/>
      <c r="Y30" s="488"/>
      <c r="Z30" s="488"/>
      <c r="AA30" s="488"/>
      <c r="AB30" s="488"/>
      <c r="AC30" s="489"/>
      <c r="AD30" s="488"/>
      <c r="AE30" s="488"/>
      <c r="AF30" s="488"/>
      <c r="AG30" s="488"/>
      <c r="AH30" s="489"/>
      <c r="AI30" s="488"/>
      <c r="AJ30" s="488"/>
      <c r="AK30" s="488"/>
      <c r="AL30" s="489"/>
      <c r="AM30" s="488"/>
      <c r="AN30" s="488"/>
      <c r="AO30" s="488"/>
      <c r="AP30" s="489"/>
      <c r="AQ30" s="281"/>
      <c r="AR30" s="281"/>
      <c r="AS30" s="281"/>
      <c r="AT30" s="281"/>
    </row>
    <row r="31" spans="4:46" ht="5.0999999999999996" customHeight="1">
      <c r="D31" s="285"/>
      <c r="F31" s="532"/>
      <c r="G31" s="283"/>
      <c r="AP31" s="284"/>
      <c r="AQ31" s="281"/>
      <c r="AR31" s="281"/>
      <c r="AS31" s="281"/>
      <c r="AT31" s="281"/>
    </row>
    <row r="32" spans="4:46" ht="5.0999999999999996" customHeight="1">
      <c r="D32" s="285"/>
      <c r="F32" s="532"/>
      <c r="G32" s="464" t="s">
        <v>742</v>
      </c>
      <c r="H32" s="456"/>
      <c r="I32" s="507"/>
      <c r="J32" s="492"/>
      <c r="K32" s="493"/>
      <c r="L32" s="493"/>
      <c r="M32" s="494"/>
      <c r="N32" s="492"/>
      <c r="O32" s="493"/>
      <c r="P32" s="493"/>
      <c r="Q32" s="493"/>
      <c r="R32" s="494"/>
      <c r="S32" s="492"/>
      <c r="T32" s="493"/>
      <c r="U32" s="493"/>
      <c r="V32" s="493"/>
      <c r="W32" s="493"/>
      <c r="X32" s="494"/>
      <c r="Y32" s="492"/>
      <c r="Z32" s="493"/>
      <c r="AA32" s="493"/>
      <c r="AB32" s="493"/>
      <c r="AC32" s="494"/>
      <c r="AD32" s="492"/>
      <c r="AE32" s="493"/>
      <c r="AF32" s="493"/>
      <c r="AG32" s="493"/>
      <c r="AH32" s="494"/>
      <c r="AI32" s="492"/>
      <c r="AJ32" s="493"/>
      <c r="AK32" s="493"/>
      <c r="AL32" s="494"/>
      <c r="AM32" s="493"/>
      <c r="AN32" s="493"/>
      <c r="AO32" s="493"/>
      <c r="AP32" s="494"/>
      <c r="AQ32" s="281"/>
      <c r="AR32" s="281"/>
      <c r="AS32" s="281"/>
      <c r="AT32" s="281"/>
    </row>
    <row r="33" spans="1:46" ht="5.0999999999999996" customHeight="1">
      <c r="D33" s="285"/>
      <c r="F33" s="532"/>
      <c r="G33" s="465"/>
      <c r="H33" s="458"/>
      <c r="I33" s="508"/>
      <c r="J33" s="492"/>
      <c r="K33" s="493"/>
      <c r="L33" s="493"/>
      <c r="M33" s="494"/>
      <c r="N33" s="492"/>
      <c r="O33" s="493"/>
      <c r="P33" s="493"/>
      <c r="Q33" s="493"/>
      <c r="R33" s="494"/>
      <c r="S33" s="492"/>
      <c r="T33" s="493"/>
      <c r="U33" s="493"/>
      <c r="V33" s="493"/>
      <c r="W33" s="493"/>
      <c r="X33" s="494"/>
      <c r="Y33" s="492"/>
      <c r="Z33" s="493"/>
      <c r="AA33" s="493"/>
      <c r="AB33" s="493"/>
      <c r="AC33" s="494"/>
      <c r="AD33" s="492"/>
      <c r="AE33" s="493"/>
      <c r="AF33" s="493"/>
      <c r="AG33" s="493"/>
      <c r="AH33" s="494"/>
      <c r="AI33" s="492"/>
      <c r="AJ33" s="493"/>
      <c r="AK33" s="493"/>
      <c r="AL33" s="494"/>
      <c r="AM33" s="493"/>
      <c r="AN33" s="493"/>
      <c r="AO33" s="493"/>
      <c r="AP33" s="494"/>
      <c r="AQ33" s="281"/>
      <c r="AR33" s="281"/>
      <c r="AS33" s="281"/>
      <c r="AT33" s="281"/>
    </row>
    <row r="34" spans="1:46" ht="4.5" hidden="1" customHeight="1">
      <c r="D34" s="285"/>
      <c r="F34" s="532"/>
      <c r="G34" s="283"/>
      <c r="AP34" s="284"/>
      <c r="AQ34" s="281"/>
      <c r="AR34" s="281"/>
      <c r="AS34" s="281"/>
      <c r="AT34" s="281"/>
    </row>
    <row r="35" spans="1:46" ht="6" customHeight="1">
      <c r="D35" s="285"/>
      <c r="F35" s="532"/>
      <c r="G35" s="464" t="s">
        <v>747</v>
      </c>
      <c r="H35" s="456"/>
      <c r="I35" s="507"/>
      <c r="J35" s="444">
        <f>J26+J29+J32</f>
        <v>0</v>
      </c>
      <c r="K35" s="445"/>
      <c r="L35" s="445"/>
      <c r="M35" s="446"/>
      <c r="N35" s="445">
        <f>N26+N29+N32</f>
        <v>0</v>
      </c>
      <c r="O35" s="445"/>
      <c r="P35" s="445"/>
      <c r="Q35" s="445"/>
      <c r="R35" s="446"/>
      <c r="S35" s="445">
        <f>S26+S29+S32</f>
        <v>0</v>
      </c>
      <c r="T35" s="445"/>
      <c r="U35" s="445"/>
      <c r="V35" s="445"/>
      <c r="W35" s="445"/>
      <c r="X35" s="446"/>
      <c r="Y35" s="445">
        <f>Y26+Y29+Y32</f>
        <v>0</v>
      </c>
      <c r="Z35" s="445"/>
      <c r="AA35" s="445"/>
      <c r="AB35" s="445"/>
      <c r="AC35" s="446"/>
      <c r="AD35" s="445">
        <f>SUM(AD26:AH33)</f>
        <v>0</v>
      </c>
      <c r="AE35" s="445"/>
      <c r="AF35" s="445"/>
      <c r="AG35" s="445"/>
      <c r="AH35" s="446"/>
      <c r="AI35" s="445">
        <f>AI26+AI29+AI32</f>
        <v>0</v>
      </c>
      <c r="AJ35" s="445"/>
      <c r="AK35" s="445"/>
      <c r="AL35" s="446"/>
      <c r="AM35" s="445">
        <f>AM26+AM29+AM32</f>
        <v>0</v>
      </c>
      <c r="AN35" s="445"/>
      <c r="AO35" s="445"/>
      <c r="AP35" s="446"/>
      <c r="AQ35" s="281"/>
      <c r="AR35" s="281"/>
      <c r="AS35" s="281"/>
      <c r="AT35" s="281"/>
    </row>
    <row r="36" spans="1:46" ht="27.75" customHeight="1">
      <c r="D36" s="285"/>
      <c r="F36" s="533"/>
      <c r="G36" s="465"/>
      <c r="H36" s="458"/>
      <c r="I36" s="508"/>
      <c r="J36" s="447"/>
      <c r="K36" s="448"/>
      <c r="L36" s="448"/>
      <c r="M36" s="449"/>
      <c r="N36" s="448"/>
      <c r="O36" s="448"/>
      <c r="P36" s="448"/>
      <c r="Q36" s="448"/>
      <c r="R36" s="449"/>
      <c r="S36" s="448"/>
      <c r="T36" s="448"/>
      <c r="U36" s="448"/>
      <c r="V36" s="448"/>
      <c r="W36" s="448"/>
      <c r="X36" s="449"/>
      <c r="Y36" s="448"/>
      <c r="Z36" s="448"/>
      <c r="AA36" s="448"/>
      <c r="AB36" s="448"/>
      <c r="AC36" s="449"/>
      <c r="AD36" s="448"/>
      <c r="AE36" s="448"/>
      <c r="AF36" s="448"/>
      <c r="AG36" s="448"/>
      <c r="AH36" s="449"/>
      <c r="AI36" s="448"/>
      <c r="AJ36" s="448"/>
      <c r="AK36" s="448"/>
      <c r="AL36" s="449"/>
      <c r="AM36" s="448"/>
      <c r="AN36" s="448"/>
      <c r="AO36" s="448"/>
      <c r="AP36" s="449"/>
      <c r="AQ36" s="281"/>
      <c r="AR36" s="281"/>
      <c r="AS36" s="281"/>
      <c r="AT36" s="281"/>
    </row>
    <row r="37" spans="1:46" ht="5.0999999999999996" customHeight="1">
      <c r="D37" s="285"/>
      <c r="AQ37" s="281"/>
      <c r="AR37" s="281"/>
      <c r="AS37" s="281"/>
      <c r="AT37" s="281"/>
    </row>
    <row r="38" spans="1:46" ht="5.0999999999999996" customHeight="1">
      <c r="A38" s="531" t="s">
        <v>749</v>
      </c>
      <c r="B38" s="289"/>
      <c r="C38" s="289"/>
      <c r="D38" s="289"/>
      <c r="E38" s="289"/>
      <c r="F38" s="289"/>
      <c r="G38" s="289"/>
      <c r="H38" s="464" t="s">
        <v>745</v>
      </c>
      <c r="I38" s="456"/>
      <c r="J38" s="507"/>
      <c r="K38" s="464" t="s">
        <v>748</v>
      </c>
      <c r="L38" s="456"/>
      <c r="M38" s="507"/>
      <c r="N38" s="464" t="s">
        <v>742</v>
      </c>
      <c r="O38" s="456"/>
      <c r="P38" s="507"/>
      <c r="Q38" s="464" t="s">
        <v>747</v>
      </c>
      <c r="R38" s="507"/>
      <c r="T38" s="280"/>
      <c r="U38" s="509" t="s">
        <v>746</v>
      </c>
      <c r="V38" s="518">
        <f>(G100 - SUM(AG40,AG43,AG46,AG49,AG52,AG55,AG58,AG61,AG64,AG67,AG70,AG73,AG76,AG79,AG82,AG85,AG88,AG91)*100)/100</f>
        <v>0.1</v>
      </c>
      <c r="W38" s="519"/>
      <c r="X38" s="519"/>
      <c r="Y38" s="519"/>
      <c r="Z38" s="520"/>
      <c r="AA38" s="464" t="s">
        <v>745</v>
      </c>
      <c r="AB38" s="456"/>
      <c r="AC38" s="507"/>
      <c r="AD38" s="464" t="s">
        <v>744</v>
      </c>
      <c r="AE38" s="456"/>
      <c r="AF38" s="507"/>
      <c r="AG38" s="593" t="s">
        <v>743</v>
      </c>
      <c r="AH38" s="456"/>
      <c r="AI38" s="507"/>
      <c r="AJ38" s="464" t="s">
        <v>742</v>
      </c>
      <c r="AK38" s="456"/>
      <c r="AL38" s="456"/>
      <c r="AM38" s="507"/>
      <c r="AN38" s="464" t="s">
        <v>581</v>
      </c>
      <c r="AO38" s="456"/>
      <c r="AP38" s="507"/>
      <c r="AQ38" s="281"/>
      <c r="AR38" s="281"/>
      <c r="AS38" s="281"/>
      <c r="AT38" s="281"/>
    </row>
    <row r="39" spans="1:46" ht="5.0999999999999996" customHeight="1" thickBot="1">
      <c r="A39" s="532"/>
      <c r="H39" s="547"/>
      <c r="I39" s="548"/>
      <c r="J39" s="549"/>
      <c r="K39" s="465"/>
      <c r="L39" s="458"/>
      <c r="M39" s="508"/>
      <c r="N39" s="465"/>
      <c r="O39" s="458"/>
      <c r="P39" s="508"/>
      <c r="Q39" s="465"/>
      <c r="R39" s="508"/>
      <c r="T39" s="280"/>
      <c r="U39" s="510"/>
      <c r="V39" s="521"/>
      <c r="W39" s="521"/>
      <c r="X39" s="521"/>
      <c r="Y39" s="521"/>
      <c r="Z39" s="522"/>
      <c r="AA39" s="547"/>
      <c r="AB39" s="548"/>
      <c r="AC39" s="549"/>
      <c r="AD39" s="465"/>
      <c r="AE39" s="458"/>
      <c r="AF39" s="508"/>
      <c r="AG39" s="465"/>
      <c r="AH39" s="458"/>
      <c r="AI39" s="508"/>
      <c r="AJ39" s="465"/>
      <c r="AK39" s="458"/>
      <c r="AL39" s="458"/>
      <c r="AM39" s="508"/>
      <c r="AN39" s="465"/>
      <c r="AO39" s="458"/>
      <c r="AP39" s="508"/>
      <c r="AQ39" s="281"/>
      <c r="AR39" s="281"/>
      <c r="AS39" s="281"/>
      <c r="AT39" s="281"/>
    </row>
    <row r="40" spans="1:46" ht="5.0999999999999996" customHeight="1">
      <c r="A40" s="532"/>
      <c r="B40" s="464" t="s">
        <v>741</v>
      </c>
      <c r="C40" s="456"/>
      <c r="D40" s="456"/>
      <c r="E40" s="456"/>
      <c r="F40" s="456"/>
      <c r="G40" s="456"/>
      <c r="H40" s="466">
        <f>AM35/100</f>
        <v>0</v>
      </c>
      <c r="I40" s="467"/>
      <c r="J40" s="468"/>
      <c r="K40" s="472"/>
      <c r="L40" s="472"/>
      <c r="M40" s="473"/>
      <c r="N40" s="476"/>
      <c r="O40" s="476"/>
      <c r="P40" s="477"/>
      <c r="Q40" s="478">
        <f>(H40+K40+N40)</f>
        <v>0</v>
      </c>
      <c r="R40" s="479"/>
      <c r="T40" s="280"/>
      <c r="U40" s="510"/>
      <c r="V40" s="456" t="s">
        <v>740</v>
      </c>
      <c r="W40" s="456"/>
      <c r="X40" s="456"/>
      <c r="Y40" s="456"/>
      <c r="Z40" s="456"/>
      <c r="AA40" s="466">
        <f>(5+2*AI35+2*N35)/100</f>
        <v>0.05</v>
      </c>
      <c r="AB40" s="467"/>
      <c r="AC40" s="468"/>
      <c r="AD40" s="556"/>
      <c r="AE40" s="557"/>
      <c r="AF40" s="558"/>
      <c r="AG40" s="571"/>
      <c r="AH40" s="476"/>
      <c r="AI40" s="477"/>
      <c r="AJ40" s="557"/>
      <c r="AK40" s="557"/>
      <c r="AL40" s="557"/>
      <c r="AM40" s="558"/>
      <c r="AN40" s="604">
        <f>SUM(AA40:AM41)</f>
        <v>0.05</v>
      </c>
      <c r="AO40" s="605"/>
      <c r="AP40" s="606"/>
      <c r="AQ40" s="281"/>
      <c r="AR40" s="281"/>
      <c r="AS40" s="281"/>
      <c r="AT40" s="281"/>
    </row>
    <row r="41" spans="1:46" ht="5.0999999999999996" customHeight="1" thickBot="1">
      <c r="A41" s="532"/>
      <c r="B41" s="465"/>
      <c r="C41" s="458"/>
      <c r="D41" s="458"/>
      <c r="E41" s="458"/>
      <c r="F41" s="458"/>
      <c r="G41" s="458"/>
      <c r="H41" s="469"/>
      <c r="I41" s="470"/>
      <c r="J41" s="471"/>
      <c r="K41" s="474"/>
      <c r="L41" s="474"/>
      <c r="M41" s="475"/>
      <c r="N41" s="462"/>
      <c r="O41" s="462"/>
      <c r="P41" s="463"/>
      <c r="Q41" s="480"/>
      <c r="R41" s="481"/>
      <c r="T41" s="280"/>
      <c r="U41" s="510"/>
      <c r="V41" s="458"/>
      <c r="W41" s="458"/>
      <c r="X41" s="458"/>
      <c r="Y41" s="458"/>
      <c r="Z41" s="458"/>
      <c r="AA41" s="469"/>
      <c r="AB41" s="470"/>
      <c r="AC41" s="471"/>
      <c r="AD41" s="460"/>
      <c r="AE41" s="451"/>
      <c r="AF41" s="452"/>
      <c r="AG41" s="461"/>
      <c r="AH41" s="462"/>
      <c r="AI41" s="463"/>
      <c r="AJ41" s="451"/>
      <c r="AK41" s="451"/>
      <c r="AL41" s="451"/>
      <c r="AM41" s="452"/>
      <c r="AN41" s="492"/>
      <c r="AO41" s="493"/>
      <c r="AP41" s="494"/>
      <c r="AQ41" s="281"/>
      <c r="AR41" s="281"/>
      <c r="AS41" s="281"/>
      <c r="AT41" s="281"/>
    </row>
    <row r="42" spans="1:46" ht="5.0999999999999996" customHeight="1" thickBot="1">
      <c r="A42" s="532"/>
      <c r="H42" s="290"/>
      <c r="I42" s="290"/>
      <c r="J42" s="290"/>
      <c r="Q42" s="291"/>
      <c r="R42" s="292"/>
      <c r="T42" s="280"/>
      <c r="U42" s="510"/>
      <c r="AP42" s="284"/>
      <c r="AQ42" s="281"/>
      <c r="AR42" s="281"/>
      <c r="AS42" s="281"/>
      <c r="AT42" s="281"/>
    </row>
    <row r="43" spans="1:46" ht="5.0999999999999996" customHeight="1">
      <c r="A43" s="532"/>
      <c r="B43" s="464" t="s">
        <v>739</v>
      </c>
      <c r="C43" s="456"/>
      <c r="D43" s="456"/>
      <c r="E43" s="456"/>
      <c r="F43" s="456"/>
      <c r="G43" s="456"/>
      <c r="H43" s="466">
        <f>AM35/100</f>
        <v>0</v>
      </c>
      <c r="I43" s="467"/>
      <c r="J43" s="468"/>
      <c r="K43" s="474"/>
      <c r="L43" s="474"/>
      <c r="M43" s="475"/>
      <c r="N43" s="461"/>
      <c r="O43" s="462"/>
      <c r="P43" s="462"/>
      <c r="Q43" s="480">
        <f>(H43+K43+N43)</f>
        <v>0</v>
      </c>
      <c r="R43" s="481"/>
      <c r="U43" s="510"/>
      <c r="V43" s="456" t="s">
        <v>738</v>
      </c>
      <c r="W43" s="456"/>
      <c r="X43" s="456"/>
      <c r="Y43" s="456"/>
      <c r="Z43" s="456"/>
      <c r="AA43" s="466">
        <f>(5+2*J35+S35)/100</f>
        <v>0.05</v>
      </c>
      <c r="AB43" s="467"/>
      <c r="AC43" s="468"/>
      <c r="AD43" s="460"/>
      <c r="AE43" s="451"/>
      <c r="AF43" s="452"/>
      <c r="AG43" s="461"/>
      <c r="AH43" s="462"/>
      <c r="AI43" s="463"/>
      <c r="AJ43" s="451"/>
      <c r="AK43" s="451"/>
      <c r="AL43" s="451"/>
      <c r="AM43" s="452"/>
      <c r="AN43" s="560">
        <f>SUM(AA43:AM44)</f>
        <v>0.05</v>
      </c>
      <c r="AO43" s="493"/>
      <c r="AP43" s="494"/>
      <c r="AQ43" s="281"/>
      <c r="AR43" s="281"/>
      <c r="AS43" s="281"/>
      <c r="AT43" s="281"/>
    </row>
    <row r="44" spans="1:46" ht="5.0999999999999996" customHeight="1" thickBot="1">
      <c r="A44" s="532"/>
      <c r="B44" s="465"/>
      <c r="C44" s="458"/>
      <c r="D44" s="458"/>
      <c r="E44" s="458"/>
      <c r="F44" s="458"/>
      <c r="G44" s="458"/>
      <c r="H44" s="469"/>
      <c r="I44" s="470"/>
      <c r="J44" s="471"/>
      <c r="K44" s="474"/>
      <c r="L44" s="474"/>
      <c r="M44" s="475"/>
      <c r="N44" s="461"/>
      <c r="O44" s="462"/>
      <c r="P44" s="462"/>
      <c r="Q44" s="480"/>
      <c r="R44" s="481"/>
      <c r="U44" s="510"/>
      <c r="V44" s="458"/>
      <c r="W44" s="458"/>
      <c r="X44" s="458"/>
      <c r="Y44" s="458"/>
      <c r="Z44" s="458"/>
      <c r="AA44" s="469"/>
      <c r="AB44" s="470"/>
      <c r="AC44" s="471"/>
      <c r="AD44" s="460"/>
      <c r="AE44" s="451"/>
      <c r="AF44" s="452"/>
      <c r="AG44" s="461"/>
      <c r="AH44" s="462"/>
      <c r="AI44" s="463"/>
      <c r="AJ44" s="451"/>
      <c r="AK44" s="451"/>
      <c r="AL44" s="451"/>
      <c r="AM44" s="452"/>
      <c r="AN44" s="492"/>
      <c r="AO44" s="493"/>
      <c r="AP44" s="494"/>
      <c r="AQ44" s="281"/>
      <c r="AR44" s="281"/>
      <c r="AS44" s="281"/>
      <c r="AT44" s="281"/>
    </row>
    <row r="45" spans="1:46" ht="5.0999999999999996" customHeight="1" thickBot="1">
      <c r="A45" s="532"/>
      <c r="H45" s="290"/>
      <c r="I45" s="290"/>
      <c r="J45" s="290"/>
      <c r="Q45" s="291"/>
      <c r="R45" s="292"/>
      <c r="U45" s="510"/>
      <c r="AP45" s="284"/>
      <c r="AQ45" s="281"/>
      <c r="AR45" s="281"/>
      <c r="AS45" s="281"/>
      <c r="AT45" s="281"/>
    </row>
    <row r="46" spans="1:46" ht="5.0999999999999996" customHeight="1">
      <c r="A46" s="532"/>
      <c r="B46" s="464" t="s">
        <v>737</v>
      </c>
      <c r="C46" s="456"/>
      <c r="D46" s="456"/>
      <c r="E46" s="456"/>
      <c r="F46" s="456"/>
      <c r="G46" s="456"/>
      <c r="H46" s="498">
        <f>(AI35+S35)/2</f>
        <v>0</v>
      </c>
      <c r="I46" s="499"/>
      <c r="J46" s="500"/>
      <c r="K46" s="488"/>
      <c r="L46" s="488"/>
      <c r="M46" s="489"/>
      <c r="N46" s="492"/>
      <c r="O46" s="493"/>
      <c r="P46" s="493"/>
      <c r="Q46" s="484">
        <f>(H46+K46+N46)</f>
        <v>0</v>
      </c>
      <c r="R46" s="485"/>
      <c r="U46" s="510"/>
      <c r="V46" s="456" t="s">
        <v>736</v>
      </c>
      <c r="W46" s="456"/>
      <c r="X46" s="456"/>
      <c r="Y46" s="456"/>
      <c r="Z46" s="456"/>
      <c r="AA46" s="466">
        <f>(10+2*S35+2*J35+AI35)/100</f>
        <v>0.1</v>
      </c>
      <c r="AB46" s="467"/>
      <c r="AC46" s="468"/>
      <c r="AD46" s="460"/>
      <c r="AE46" s="451"/>
      <c r="AF46" s="452"/>
      <c r="AG46" s="461"/>
      <c r="AH46" s="462"/>
      <c r="AI46" s="463"/>
      <c r="AJ46" s="451"/>
      <c r="AK46" s="451"/>
      <c r="AL46" s="451"/>
      <c r="AM46" s="452"/>
      <c r="AN46" s="560">
        <f>SUM(AA46:AM47)</f>
        <v>0.1</v>
      </c>
      <c r="AO46" s="493"/>
      <c r="AP46" s="494"/>
      <c r="AQ46" s="281"/>
      <c r="AR46" s="281"/>
      <c r="AS46" s="281"/>
      <c r="AT46" s="281"/>
    </row>
    <row r="47" spans="1:46" ht="5.0999999999999996" customHeight="1" thickBot="1">
      <c r="A47" s="532"/>
      <c r="B47" s="465"/>
      <c r="C47" s="458"/>
      <c r="D47" s="458"/>
      <c r="E47" s="458"/>
      <c r="F47" s="458"/>
      <c r="G47" s="458"/>
      <c r="H47" s="501"/>
      <c r="I47" s="502"/>
      <c r="J47" s="503"/>
      <c r="K47" s="488"/>
      <c r="L47" s="488"/>
      <c r="M47" s="489"/>
      <c r="N47" s="492"/>
      <c r="O47" s="493"/>
      <c r="P47" s="493"/>
      <c r="Q47" s="484"/>
      <c r="R47" s="485"/>
      <c r="U47" s="510"/>
      <c r="V47" s="458"/>
      <c r="W47" s="458"/>
      <c r="X47" s="458"/>
      <c r="Y47" s="458"/>
      <c r="Z47" s="458"/>
      <c r="AA47" s="469"/>
      <c r="AB47" s="470"/>
      <c r="AC47" s="471"/>
      <c r="AD47" s="460"/>
      <c r="AE47" s="451"/>
      <c r="AF47" s="452"/>
      <c r="AG47" s="461"/>
      <c r="AH47" s="462"/>
      <c r="AI47" s="463"/>
      <c r="AJ47" s="451"/>
      <c r="AK47" s="451"/>
      <c r="AL47" s="451"/>
      <c r="AM47" s="452"/>
      <c r="AN47" s="492"/>
      <c r="AO47" s="493"/>
      <c r="AP47" s="494"/>
      <c r="AQ47" s="281"/>
      <c r="AR47" s="281"/>
      <c r="AS47" s="281"/>
      <c r="AT47" s="281"/>
    </row>
    <row r="48" spans="1:46" ht="5.0999999999999996" customHeight="1" thickBot="1">
      <c r="A48" s="532"/>
      <c r="H48" s="290"/>
      <c r="I48" s="290"/>
      <c r="J48" s="290"/>
      <c r="Q48" s="291"/>
      <c r="R48" s="292"/>
      <c r="U48" s="510"/>
      <c r="AP48" s="284"/>
      <c r="AQ48" s="281"/>
      <c r="AR48" s="281"/>
      <c r="AS48" s="281"/>
      <c r="AT48" s="281"/>
    </row>
    <row r="49" spans="1:46" ht="5.0999999999999996" customHeight="1">
      <c r="A49" s="532"/>
      <c r="B49" s="464" t="s">
        <v>735</v>
      </c>
      <c r="C49" s="456"/>
      <c r="D49" s="456"/>
      <c r="E49" s="456"/>
      <c r="F49" s="456"/>
      <c r="G49" s="456"/>
      <c r="H49" s="498">
        <f>J35/2</f>
        <v>0</v>
      </c>
      <c r="I49" s="499"/>
      <c r="J49" s="500"/>
      <c r="K49" s="488"/>
      <c r="L49" s="488"/>
      <c r="M49" s="489"/>
      <c r="N49" s="492"/>
      <c r="O49" s="493"/>
      <c r="P49" s="494"/>
      <c r="Q49" s="484">
        <f>H49+K49+N49</f>
        <v>0</v>
      </c>
      <c r="R49" s="485"/>
      <c r="U49" s="510"/>
      <c r="V49" s="464" t="s">
        <v>115</v>
      </c>
      <c r="W49" s="456"/>
      <c r="X49" s="456"/>
      <c r="Y49" s="456"/>
      <c r="Z49" s="456"/>
      <c r="AA49" s="466">
        <f>(10+2*J35+2*AI35+S35)/100</f>
        <v>0.1</v>
      </c>
      <c r="AB49" s="467"/>
      <c r="AC49" s="468"/>
      <c r="AD49" s="460"/>
      <c r="AE49" s="451"/>
      <c r="AF49" s="452"/>
      <c r="AG49" s="461"/>
      <c r="AH49" s="462"/>
      <c r="AI49" s="463"/>
      <c r="AJ49" s="451"/>
      <c r="AK49" s="451"/>
      <c r="AL49" s="451"/>
      <c r="AM49" s="452"/>
      <c r="AN49" s="560">
        <f>SUM(AA49:AM50)</f>
        <v>0.1</v>
      </c>
      <c r="AO49" s="493"/>
      <c r="AP49" s="494"/>
      <c r="AQ49" s="281"/>
      <c r="AR49" s="281"/>
      <c r="AS49" s="281"/>
      <c r="AT49" s="281"/>
    </row>
    <row r="50" spans="1:46" ht="5.0999999999999996" customHeight="1" thickBot="1">
      <c r="A50" s="532"/>
      <c r="B50" s="465"/>
      <c r="C50" s="458"/>
      <c r="D50" s="458"/>
      <c r="E50" s="458"/>
      <c r="F50" s="458"/>
      <c r="G50" s="458"/>
      <c r="H50" s="501"/>
      <c r="I50" s="502"/>
      <c r="J50" s="503"/>
      <c r="K50" s="488"/>
      <c r="L50" s="488"/>
      <c r="M50" s="489"/>
      <c r="N50" s="492"/>
      <c r="O50" s="493"/>
      <c r="P50" s="494"/>
      <c r="Q50" s="484"/>
      <c r="R50" s="485"/>
      <c r="U50" s="510"/>
      <c r="V50" s="465"/>
      <c r="W50" s="458"/>
      <c r="X50" s="458"/>
      <c r="Y50" s="458"/>
      <c r="Z50" s="458"/>
      <c r="AA50" s="469"/>
      <c r="AB50" s="470"/>
      <c r="AC50" s="471"/>
      <c r="AD50" s="460"/>
      <c r="AE50" s="451"/>
      <c r="AF50" s="452"/>
      <c r="AG50" s="461"/>
      <c r="AH50" s="462"/>
      <c r="AI50" s="463"/>
      <c r="AJ50" s="451"/>
      <c r="AK50" s="451"/>
      <c r="AL50" s="451"/>
      <c r="AM50" s="452"/>
      <c r="AN50" s="492"/>
      <c r="AO50" s="493"/>
      <c r="AP50" s="494"/>
      <c r="AQ50" s="281"/>
      <c r="AR50" s="281"/>
      <c r="AS50" s="281"/>
      <c r="AT50" s="281"/>
    </row>
    <row r="51" spans="1:46" ht="5.0999999999999996" customHeight="1" thickBot="1">
      <c r="A51" s="532"/>
      <c r="H51" s="290"/>
      <c r="I51" s="290"/>
      <c r="J51" s="290"/>
      <c r="Q51" s="291"/>
      <c r="R51" s="292"/>
      <c r="U51" s="510"/>
      <c r="AP51" s="284"/>
      <c r="AQ51" s="281"/>
      <c r="AR51" s="281"/>
      <c r="AS51" s="281"/>
      <c r="AT51" s="281"/>
    </row>
    <row r="52" spans="1:46" ht="5.0999999999999996" customHeight="1">
      <c r="A52" s="532"/>
      <c r="B52" s="464" t="s">
        <v>734</v>
      </c>
      <c r="C52" s="456"/>
      <c r="D52" s="456"/>
      <c r="E52" s="456"/>
      <c r="F52" s="456"/>
      <c r="G52" s="456"/>
      <c r="H52" s="498">
        <f>(Y35+AD35)/2</f>
        <v>0</v>
      </c>
      <c r="I52" s="499"/>
      <c r="J52" s="500"/>
      <c r="K52" s="572"/>
      <c r="L52" s="572"/>
      <c r="M52" s="573"/>
      <c r="N52" s="492"/>
      <c r="O52" s="493"/>
      <c r="P52" s="494"/>
      <c r="Q52" s="484">
        <f>H52+K52+N52</f>
        <v>0</v>
      </c>
      <c r="R52" s="485"/>
      <c r="U52" s="510"/>
      <c r="V52" s="456" t="s">
        <v>733</v>
      </c>
      <c r="W52" s="456"/>
      <c r="X52" s="456"/>
      <c r="Y52" s="456"/>
      <c r="Z52" s="456"/>
      <c r="AA52" s="466">
        <f>(10+2*AI35+2*N35)/100</f>
        <v>0.1</v>
      </c>
      <c r="AB52" s="467"/>
      <c r="AC52" s="468"/>
      <c r="AD52" s="460"/>
      <c r="AE52" s="451"/>
      <c r="AF52" s="452"/>
      <c r="AG52" s="461"/>
      <c r="AH52" s="462"/>
      <c r="AI52" s="463"/>
      <c r="AJ52" s="450"/>
      <c r="AK52" s="451"/>
      <c r="AL52" s="451"/>
      <c r="AM52" s="452"/>
      <c r="AN52" s="560">
        <f>SUM(AA52:AM53)</f>
        <v>0.1</v>
      </c>
      <c r="AO52" s="493"/>
      <c r="AP52" s="494"/>
      <c r="AQ52" s="281"/>
      <c r="AR52" s="281"/>
      <c r="AS52" s="281"/>
      <c r="AT52" s="281"/>
    </row>
    <row r="53" spans="1:46" ht="5.0999999999999996" customHeight="1" thickBot="1">
      <c r="A53" s="532"/>
      <c r="B53" s="465"/>
      <c r="C53" s="458"/>
      <c r="D53" s="458"/>
      <c r="E53" s="458"/>
      <c r="F53" s="458"/>
      <c r="G53" s="458"/>
      <c r="H53" s="501"/>
      <c r="I53" s="502"/>
      <c r="J53" s="503"/>
      <c r="K53" s="572"/>
      <c r="L53" s="572"/>
      <c r="M53" s="573"/>
      <c r="N53" s="492"/>
      <c r="O53" s="493"/>
      <c r="P53" s="494"/>
      <c r="Q53" s="484"/>
      <c r="R53" s="485"/>
      <c r="U53" s="510"/>
      <c r="V53" s="458"/>
      <c r="W53" s="458"/>
      <c r="X53" s="458"/>
      <c r="Y53" s="458"/>
      <c r="Z53" s="458"/>
      <c r="AA53" s="469"/>
      <c r="AB53" s="470"/>
      <c r="AC53" s="471"/>
      <c r="AD53" s="460"/>
      <c r="AE53" s="451"/>
      <c r="AF53" s="452"/>
      <c r="AG53" s="461"/>
      <c r="AH53" s="462"/>
      <c r="AI53" s="463"/>
      <c r="AJ53" s="450"/>
      <c r="AK53" s="451"/>
      <c r="AL53" s="451"/>
      <c r="AM53" s="452"/>
      <c r="AN53" s="492"/>
      <c r="AO53" s="493"/>
      <c r="AP53" s="494"/>
      <c r="AQ53" s="281"/>
      <c r="AR53" s="281"/>
      <c r="AS53" s="281"/>
      <c r="AT53" s="281"/>
    </row>
    <row r="54" spans="1:46" ht="5.0999999999999996" customHeight="1" thickBot="1">
      <c r="A54" s="532"/>
      <c r="H54" s="290"/>
      <c r="I54" s="290"/>
      <c r="J54" s="290"/>
      <c r="K54" s="285"/>
      <c r="L54" s="285"/>
      <c r="M54" s="285"/>
      <c r="Q54" s="291"/>
      <c r="R54" s="292"/>
      <c r="U54" s="510"/>
      <c r="AP54" s="284"/>
      <c r="AQ54" s="281"/>
      <c r="AR54" s="281"/>
      <c r="AS54" s="281"/>
      <c r="AT54" s="281"/>
    </row>
    <row r="55" spans="1:46" ht="5.0999999999999996" customHeight="1">
      <c r="A55" s="532"/>
      <c r="B55" s="464" t="s">
        <v>732</v>
      </c>
      <c r="C55" s="456"/>
      <c r="D55" s="456"/>
      <c r="E55" s="456"/>
      <c r="F55" s="456"/>
      <c r="G55" s="456"/>
      <c r="H55" s="498" t="e">
        <f>VLOOKUP(AI35,Base!A3:B12,2)</f>
        <v>#N/A</v>
      </c>
      <c r="I55" s="499"/>
      <c r="J55" s="500"/>
      <c r="K55" s="488"/>
      <c r="L55" s="488"/>
      <c r="M55" s="489"/>
      <c r="N55" s="492"/>
      <c r="O55" s="493"/>
      <c r="P55" s="494"/>
      <c r="Q55" s="484" t="e">
        <f>H55+K55+N55</f>
        <v>#N/A</v>
      </c>
      <c r="R55" s="485"/>
      <c r="U55" s="510"/>
      <c r="V55" s="456" t="s">
        <v>731</v>
      </c>
      <c r="W55" s="456"/>
      <c r="X55" s="456"/>
      <c r="Y55" s="456"/>
      <c r="Z55" s="457"/>
      <c r="AA55" s="466">
        <f>(10+2*S35+2*J35+AI35)/100</f>
        <v>0.1</v>
      </c>
      <c r="AB55" s="467"/>
      <c r="AC55" s="468"/>
      <c r="AD55" s="460"/>
      <c r="AE55" s="451"/>
      <c r="AF55" s="452"/>
      <c r="AG55" s="461"/>
      <c r="AH55" s="462"/>
      <c r="AI55" s="463"/>
      <c r="AJ55" s="450"/>
      <c r="AK55" s="451"/>
      <c r="AL55" s="451"/>
      <c r="AM55" s="452"/>
      <c r="AN55" s="560">
        <f>SUM(AA55:AM56)</f>
        <v>0.1</v>
      </c>
      <c r="AO55" s="493"/>
      <c r="AP55" s="494"/>
      <c r="AQ55" s="281"/>
      <c r="AR55" s="281"/>
      <c r="AS55" s="281"/>
      <c r="AT55" s="281"/>
    </row>
    <row r="56" spans="1:46" ht="5.0999999999999996" customHeight="1" thickBot="1">
      <c r="A56" s="532"/>
      <c r="B56" s="465"/>
      <c r="C56" s="458"/>
      <c r="D56" s="458"/>
      <c r="E56" s="458"/>
      <c r="F56" s="458"/>
      <c r="G56" s="458"/>
      <c r="H56" s="501"/>
      <c r="I56" s="502"/>
      <c r="J56" s="503"/>
      <c r="K56" s="488"/>
      <c r="L56" s="488"/>
      <c r="M56" s="489"/>
      <c r="N56" s="492"/>
      <c r="O56" s="493"/>
      <c r="P56" s="494"/>
      <c r="Q56" s="484"/>
      <c r="R56" s="485"/>
      <c r="U56" s="510"/>
      <c r="V56" s="458"/>
      <c r="W56" s="458"/>
      <c r="X56" s="458"/>
      <c r="Y56" s="458"/>
      <c r="Z56" s="459"/>
      <c r="AA56" s="469"/>
      <c r="AB56" s="470"/>
      <c r="AC56" s="471"/>
      <c r="AD56" s="460"/>
      <c r="AE56" s="451"/>
      <c r="AF56" s="452"/>
      <c r="AG56" s="461"/>
      <c r="AH56" s="462"/>
      <c r="AI56" s="463"/>
      <c r="AJ56" s="450"/>
      <c r="AK56" s="451"/>
      <c r="AL56" s="451"/>
      <c r="AM56" s="452"/>
      <c r="AN56" s="492"/>
      <c r="AO56" s="493"/>
      <c r="AP56" s="494"/>
      <c r="AQ56" s="281"/>
      <c r="AR56" s="281"/>
      <c r="AS56" s="281"/>
      <c r="AT56" s="281"/>
    </row>
    <row r="57" spans="1:46" ht="5.0999999999999996" customHeight="1" thickBot="1">
      <c r="A57" s="532"/>
      <c r="H57" s="290"/>
      <c r="I57" s="290"/>
      <c r="J57" s="290"/>
      <c r="Q57" s="291"/>
      <c r="R57" s="292"/>
      <c r="U57" s="510"/>
      <c r="AP57" s="284"/>
      <c r="AQ57" s="281"/>
      <c r="AR57" s="281"/>
      <c r="AS57" s="281"/>
      <c r="AT57" s="281"/>
    </row>
    <row r="58" spans="1:46" ht="5.0999999999999996" customHeight="1">
      <c r="A58" s="532"/>
      <c r="B58" s="464" t="s">
        <v>730</v>
      </c>
      <c r="C58" s="456"/>
      <c r="D58" s="456"/>
      <c r="E58" s="456"/>
      <c r="F58" s="456"/>
      <c r="G58" s="456"/>
      <c r="H58" s="576" t="e">
        <f>VLOOKUP(N35,Base!D3:E12,2)</f>
        <v>#N/A</v>
      </c>
      <c r="I58" s="577"/>
      <c r="J58" s="578"/>
      <c r="K58" s="574"/>
      <c r="L58" s="574"/>
      <c r="M58" s="575"/>
      <c r="N58" s="597"/>
      <c r="O58" s="598"/>
      <c r="P58" s="599"/>
      <c r="Q58" s="482" t="e">
        <f>H58+K58+N58</f>
        <v>#N/A</v>
      </c>
      <c r="R58" s="483"/>
      <c r="U58" s="510"/>
      <c r="V58" s="536" t="s">
        <v>729</v>
      </c>
      <c r="W58" s="536"/>
      <c r="X58" s="536"/>
      <c r="Y58" s="536"/>
      <c r="Z58" s="554"/>
      <c r="AA58" s="523">
        <f>(10+4*N35+AD35)/100</f>
        <v>0.1</v>
      </c>
      <c r="AB58" s="524"/>
      <c r="AC58" s="525"/>
      <c r="AD58" s="559"/>
      <c r="AE58" s="454"/>
      <c r="AF58" s="455"/>
      <c r="AG58" s="561"/>
      <c r="AH58" s="562"/>
      <c r="AI58" s="563"/>
      <c r="AJ58" s="453"/>
      <c r="AK58" s="454"/>
      <c r="AL58" s="454"/>
      <c r="AM58" s="455"/>
      <c r="AN58" s="600">
        <f>SUM(AA58:AM59)</f>
        <v>0.1</v>
      </c>
      <c r="AO58" s="601"/>
      <c r="AP58" s="602"/>
      <c r="AQ58" s="281"/>
      <c r="AR58" s="281"/>
      <c r="AS58" s="281"/>
      <c r="AT58" s="281"/>
    </row>
    <row r="59" spans="1:46" ht="5.0999999999999996" customHeight="1" thickBot="1">
      <c r="A59" s="532"/>
      <c r="B59" s="465"/>
      <c r="C59" s="458"/>
      <c r="D59" s="458"/>
      <c r="E59" s="458"/>
      <c r="F59" s="458"/>
      <c r="G59" s="458"/>
      <c r="H59" s="579"/>
      <c r="I59" s="580"/>
      <c r="J59" s="581"/>
      <c r="K59" s="574"/>
      <c r="L59" s="574"/>
      <c r="M59" s="575"/>
      <c r="N59" s="597"/>
      <c r="O59" s="598"/>
      <c r="P59" s="599"/>
      <c r="Q59" s="482"/>
      <c r="R59" s="483"/>
      <c r="U59" s="510"/>
      <c r="V59" s="542"/>
      <c r="W59" s="542"/>
      <c r="X59" s="542"/>
      <c r="Y59" s="542"/>
      <c r="Z59" s="555"/>
      <c r="AA59" s="526"/>
      <c r="AB59" s="527"/>
      <c r="AC59" s="528"/>
      <c r="AD59" s="559"/>
      <c r="AE59" s="454"/>
      <c r="AF59" s="455"/>
      <c r="AG59" s="561"/>
      <c r="AH59" s="562"/>
      <c r="AI59" s="563"/>
      <c r="AJ59" s="453"/>
      <c r="AK59" s="454"/>
      <c r="AL59" s="454"/>
      <c r="AM59" s="455"/>
      <c r="AN59" s="603"/>
      <c r="AO59" s="601"/>
      <c r="AP59" s="602"/>
      <c r="AQ59" s="281"/>
      <c r="AR59" s="281"/>
      <c r="AS59" s="281"/>
      <c r="AT59" s="281"/>
    </row>
    <row r="60" spans="1:46" ht="5.0999999999999996" customHeight="1" thickBot="1">
      <c r="A60" s="532"/>
      <c r="H60" s="290"/>
      <c r="I60" s="290"/>
      <c r="J60" s="290"/>
      <c r="Q60" s="291"/>
      <c r="R60" s="292"/>
      <c r="U60" s="510"/>
      <c r="V60" s="282"/>
      <c r="W60" s="282"/>
      <c r="X60" s="282"/>
      <c r="Y60" s="282"/>
      <c r="Z60" s="282"/>
      <c r="AA60" s="282"/>
      <c r="AB60" s="282"/>
      <c r="AC60" s="282"/>
      <c r="AD60" s="280"/>
      <c r="AE60" s="280"/>
      <c r="AF60" s="280"/>
      <c r="AG60" s="280"/>
      <c r="AH60" s="280"/>
      <c r="AI60" s="280"/>
      <c r="AJ60" s="280"/>
      <c r="AK60" s="280"/>
      <c r="AL60" s="280"/>
      <c r="AM60" s="280"/>
      <c r="AN60" s="280"/>
      <c r="AO60" s="280"/>
      <c r="AP60" s="293"/>
      <c r="AQ60" s="281"/>
      <c r="AR60" s="281"/>
      <c r="AS60" s="281"/>
      <c r="AT60" s="281"/>
    </row>
    <row r="61" spans="1:46" ht="5.0999999999999996" customHeight="1">
      <c r="A61" s="532"/>
      <c r="B61" s="464" t="s">
        <v>728</v>
      </c>
      <c r="C61" s="456"/>
      <c r="D61" s="456"/>
      <c r="E61" s="456"/>
      <c r="F61" s="456"/>
      <c r="G61" s="456"/>
      <c r="H61" s="498">
        <f>5*S35</f>
        <v>0</v>
      </c>
      <c r="I61" s="499"/>
      <c r="J61" s="500"/>
      <c r="K61" s="488"/>
      <c r="L61" s="488"/>
      <c r="M61" s="489"/>
      <c r="N61" s="492"/>
      <c r="O61" s="493"/>
      <c r="P61" s="494"/>
      <c r="Q61" s="484">
        <f>H61+K61+N61</f>
        <v>0</v>
      </c>
      <c r="R61" s="485"/>
      <c r="U61" s="510"/>
      <c r="V61" s="456" t="s">
        <v>727</v>
      </c>
      <c r="W61" s="456"/>
      <c r="X61" s="456"/>
      <c r="Y61" s="456"/>
      <c r="Z61" s="457"/>
      <c r="AA61" s="466">
        <f>(5+2*AI35+AD35)/100</f>
        <v>0.05</v>
      </c>
      <c r="AB61" s="467"/>
      <c r="AC61" s="468"/>
      <c r="AD61" s="460"/>
      <c r="AE61" s="451"/>
      <c r="AF61" s="452"/>
      <c r="AG61" s="461"/>
      <c r="AH61" s="462"/>
      <c r="AI61" s="463"/>
      <c r="AJ61" s="450"/>
      <c r="AK61" s="451"/>
      <c r="AL61" s="451"/>
      <c r="AM61" s="452"/>
      <c r="AN61" s="560">
        <f>SUM(AA61:AM62)</f>
        <v>0.05</v>
      </c>
      <c r="AO61" s="493"/>
      <c r="AP61" s="494"/>
      <c r="AQ61" s="281"/>
      <c r="AR61" s="281"/>
      <c r="AS61" s="281"/>
      <c r="AT61" s="281"/>
    </row>
    <row r="62" spans="1:46" ht="5.0999999999999996" customHeight="1" thickBot="1">
      <c r="A62" s="532"/>
      <c r="B62" s="465"/>
      <c r="C62" s="458"/>
      <c r="D62" s="458"/>
      <c r="E62" s="458"/>
      <c r="F62" s="458"/>
      <c r="G62" s="458"/>
      <c r="H62" s="501"/>
      <c r="I62" s="502"/>
      <c r="J62" s="503"/>
      <c r="K62" s="488"/>
      <c r="L62" s="488"/>
      <c r="M62" s="489"/>
      <c r="N62" s="492"/>
      <c r="O62" s="493"/>
      <c r="P62" s="494"/>
      <c r="Q62" s="484"/>
      <c r="R62" s="485"/>
      <c r="U62" s="510"/>
      <c r="V62" s="458"/>
      <c r="W62" s="458"/>
      <c r="X62" s="458"/>
      <c r="Y62" s="458"/>
      <c r="Z62" s="459"/>
      <c r="AA62" s="469"/>
      <c r="AB62" s="470"/>
      <c r="AC62" s="471"/>
      <c r="AD62" s="460"/>
      <c r="AE62" s="451"/>
      <c r="AF62" s="452"/>
      <c r="AG62" s="461"/>
      <c r="AH62" s="462"/>
      <c r="AI62" s="463"/>
      <c r="AJ62" s="450"/>
      <c r="AK62" s="451"/>
      <c r="AL62" s="451"/>
      <c r="AM62" s="452"/>
      <c r="AN62" s="492"/>
      <c r="AO62" s="493"/>
      <c r="AP62" s="494"/>
      <c r="AQ62" s="281"/>
      <c r="AR62" s="281"/>
      <c r="AS62" s="281"/>
      <c r="AT62" s="281"/>
    </row>
    <row r="63" spans="1:46" ht="5.0999999999999996" customHeight="1" thickBot="1">
      <c r="A63" s="532"/>
      <c r="H63" s="290"/>
      <c r="I63" s="290"/>
      <c r="J63" s="290"/>
      <c r="Q63" s="291"/>
      <c r="R63" s="292"/>
      <c r="U63" s="510"/>
      <c r="AP63" s="284"/>
      <c r="AQ63" s="281"/>
      <c r="AR63" s="281"/>
      <c r="AS63" s="281"/>
      <c r="AT63" s="281"/>
    </row>
    <row r="64" spans="1:46" ht="5.0999999999999996" customHeight="1">
      <c r="A64" s="532"/>
      <c r="B64" s="464" t="s">
        <v>726</v>
      </c>
      <c r="C64" s="456"/>
      <c r="D64" s="456"/>
      <c r="E64" s="456"/>
      <c r="F64" s="456"/>
      <c r="G64" s="456"/>
      <c r="H64" s="498">
        <f>2*S35</f>
        <v>0</v>
      </c>
      <c r="I64" s="499"/>
      <c r="J64" s="500"/>
      <c r="K64" s="488"/>
      <c r="L64" s="488"/>
      <c r="M64" s="489"/>
      <c r="N64" s="492"/>
      <c r="O64" s="493"/>
      <c r="P64" s="494"/>
      <c r="Q64" s="484">
        <f>H64+K64+N64</f>
        <v>0</v>
      </c>
      <c r="R64" s="485"/>
      <c r="U64" s="510"/>
      <c r="V64" s="456" t="s">
        <v>725</v>
      </c>
      <c r="W64" s="456"/>
      <c r="X64" s="456"/>
      <c r="Y64" s="456"/>
      <c r="Z64" s="457"/>
      <c r="AA64" s="466">
        <f>(5+2*AI35+AD35)/100</f>
        <v>0.05</v>
      </c>
      <c r="AB64" s="467"/>
      <c r="AC64" s="468"/>
      <c r="AD64" s="460"/>
      <c r="AE64" s="451"/>
      <c r="AF64" s="452"/>
      <c r="AG64" s="461"/>
      <c r="AH64" s="462"/>
      <c r="AI64" s="463"/>
      <c r="AJ64" s="450"/>
      <c r="AK64" s="451"/>
      <c r="AL64" s="451"/>
      <c r="AM64" s="452"/>
      <c r="AN64" s="560">
        <f>SUM(AA64:AM65)</f>
        <v>0.05</v>
      </c>
      <c r="AO64" s="493"/>
      <c r="AP64" s="494"/>
      <c r="AQ64" s="281"/>
      <c r="AR64" s="281"/>
      <c r="AS64" s="281"/>
      <c r="AT64" s="281"/>
    </row>
    <row r="65" spans="1:46" ht="5.0999999999999996" customHeight="1" thickBot="1">
      <c r="A65" s="533"/>
      <c r="B65" s="465"/>
      <c r="C65" s="458"/>
      <c r="D65" s="458"/>
      <c r="E65" s="458"/>
      <c r="F65" s="458"/>
      <c r="G65" s="458"/>
      <c r="H65" s="504"/>
      <c r="I65" s="505"/>
      <c r="J65" s="506"/>
      <c r="K65" s="490"/>
      <c r="L65" s="490"/>
      <c r="M65" s="491"/>
      <c r="N65" s="495"/>
      <c r="O65" s="496"/>
      <c r="P65" s="497"/>
      <c r="Q65" s="486"/>
      <c r="R65" s="487"/>
      <c r="U65" s="510"/>
      <c r="V65" s="458"/>
      <c r="W65" s="458"/>
      <c r="X65" s="458"/>
      <c r="Y65" s="458"/>
      <c r="Z65" s="459"/>
      <c r="AA65" s="469"/>
      <c r="AB65" s="470"/>
      <c r="AC65" s="471"/>
      <c r="AD65" s="460"/>
      <c r="AE65" s="451"/>
      <c r="AF65" s="452"/>
      <c r="AG65" s="461"/>
      <c r="AH65" s="462"/>
      <c r="AI65" s="463"/>
      <c r="AJ65" s="450"/>
      <c r="AK65" s="451"/>
      <c r="AL65" s="451"/>
      <c r="AM65" s="452"/>
      <c r="AN65" s="492"/>
      <c r="AO65" s="493"/>
      <c r="AP65" s="494"/>
      <c r="AQ65" s="281"/>
      <c r="AR65" s="281"/>
      <c r="AS65" s="281"/>
      <c r="AT65" s="281"/>
    </row>
    <row r="66" spans="1:46" ht="5.0999999999999996" customHeight="1" thickBot="1">
      <c r="H66" s="290"/>
      <c r="I66" s="290"/>
      <c r="J66" s="290"/>
      <c r="Q66" s="291"/>
      <c r="R66" s="291"/>
      <c r="U66" s="510"/>
      <c r="AP66" s="284"/>
      <c r="AQ66" s="281"/>
      <c r="AR66" s="281"/>
      <c r="AS66" s="281"/>
      <c r="AT66" s="281"/>
    </row>
    <row r="67" spans="1:46" ht="5.0999999999999996" customHeight="1">
      <c r="A67" s="509" t="s">
        <v>686</v>
      </c>
      <c r="B67" s="464" t="s">
        <v>724</v>
      </c>
      <c r="C67" s="456"/>
      <c r="D67" s="456"/>
      <c r="E67" s="456"/>
      <c r="F67" s="456"/>
      <c r="G67" s="507"/>
      <c r="H67" s="590">
        <f>15+J35+(2*S35)+(G94*G109)-G109</f>
        <v>15</v>
      </c>
      <c r="I67" s="591"/>
      <c r="J67" s="591"/>
      <c r="K67" s="294"/>
      <c r="L67" s="294"/>
      <c r="M67" s="294"/>
      <c r="N67" s="289"/>
      <c r="O67" s="289"/>
      <c r="P67" s="295"/>
      <c r="Q67" s="291"/>
      <c r="R67" s="291"/>
      <c r="U67" s="510"/>
      <c r="V67" s="456" t="s">
        <v>723</v>
      </c>
      <c r="W67" s="456"/>
      <c r="X67" s="456"/>
      <c r="Y67" s="456"/>
      <c r="Z67" s="457"/>
      <c r="AA67" s="466">
        <f>(5+2*AI35+N35)/100</f>
        <v>0.05</v>
      </c>
      <c r="AB67" s="467"/>
      <c r="AC67" s="468"/>
      <c r="AD67" s="460"/>
      <c r="AE67" s="451"/>
      <c r="AF67" s="452"/>
      <c r="AG67" s="461"/>
      <c r="AH67" s="462"/>
      <c r="AI67" s="463"/>
      <c r="AJ67" s="450"/>
      <c r="AK67" s="451"/>
      <c r="AL67" s="451"/>
      <c r="AM67" s="452"/>
      <c r="AN67" s="560">
        <f>SUM(AA67:AM68)</f>
        <v>0.05</v>
      </c>
      <c r="AO67" s="493"/>
      <c r="AP67" s="494"/>
      <c r="AQ67" s="281"/>
      <c r="AR67" s="281"/>
      <c r="AS67" s="281"/>
      <c r="AT67" s="281"/>
    </row>
    <row r="68" spans="1:46" ht="5.0999999999999996" customHeight="1" thickBot="1">
      <c r="A68" s="510"/>
      <c r="B68" s="465"/>
      <c r="C68" s="458"/>
      <c r="D68" s="458"/>
      <c r="E68" s="458"/>
      <c r="F68" s="458"/>
      <c r="G68" s="508"/>
      <c r="H68" s="552"/>
      <c r="I68" s="553"/>
      <c r="J68" s="553"/>
      <c r="K68" s="290"/>
      <c r="L68" s="290"/>
      <c r="M68" s="290"/>
      <c r="P68" s="284"/>
      <c r="Q68" s="291"/>
      <c r="R68" s="291"/>
      <c r="U68" s="510"/>
      <c r="V68" s="458"/>
      <c r="W68" s="458"/>
      <c r="X68" s="458"/>
      <c r="Y68" s="458"/>
      <c r="Z68" s="459"/>
      <c r="AA68" s="469"/>
      <c r="AB68" s="470"/>
      <c r="AC68" s="471"/>
      <c r="AD68" s="460"/>
      <c r="AE68" s="451"/>
      <c r="AF68" s="452"/>
      <c r="AG68" s="461"/>
      <c r="AH68" s="462"/>
      <c r="AI68" s="463"/>
      <c r="AJ68" s="450"/>
      <c r="AK68" s="451"/>
      <c r="AL68" s="451"/>
      <c r="AM68" s="452"/>
      <c r="AN68" s="492"/>
      <c r="AO68" s="493"/>
      <c r="AP68" s="494"/>
      <c r="AQ68" s="281"/>
      <c r="AR68" s="281"/>
      <c r="AS68" s="281"/>
      <c r="AT68" s="281"/>
    </row>
    <row r="69" spans="1:46" ht="5.0999999999999996" customHeight="1" thickBot="1">
      <c r="A69" s="510"/>
      <c r="H69" s="290"/>
      <c r="I69" s="290"/>
      <c r="J69" s="290"/>
      <c r="P69" s="284"/>
      <c r="Q69" s="291"/>
      <c r="R69" s="291"/>
      <c r="U69" s="510"/>
      <c r="AP69" s="284"/>
      <c r="AQ69" s="281"/>
      <c r="AR69" s="281"/>
      <c r="AS69" s="281"/>
      <c r="AT69" s="281"/>
    </row>
    <row r="70" spans="1:46" ht="5.0999999999999996" customHeight="1">
      <c r="A70" s="510"/>
      <c r="B70" s="464" t="s">
        <v>686</v>
      </c>
      <c r="C70" s="456"/>
      <c r="D70" s="456"/>
      <c r="E70" s="456"/>
      <c r="F70" s="456"/>
      <c r="G70" s="507"/>
      <c r="H70" s="552"/>
      <c r="I70" s="553"/>
      <c r="J70" s="553"/>
      <c r="P70" s="284"/>
      <c r="Q70" s="291"/>
      <c r="R70" s="291"/>
      <c r="U70" s="510"/>
      <c r="V70" s="456" t="s">
        <v>722</v>
      </c>
      <c r="W70" s="456"/>
      <c r="X70" s="456"/>
      <c r="Y70" s="456"/>
      <c r="Z70" s="457"/>
      <c r="AA70" s="466">
        <f>(10+2*AI35+2*AM35)/100</f>
        <v>0.1</v>
      </c>
      <c r="AB70" s="467"/>
      <c r="AC70" s="468"/>
      <c r="AD70" s="460"/>
      <c r="AE70" s="451"/>
      <c r="AF70" s="452"/>
      <c r="AG70" s="461"/>
      <c r="AH70" s="462"/>
      <c r="AI70" s="463"/>
      <c r="AJ70" s="450"/>
      <c r="AK70" s="451"/>
      <c r="AL70" s="451"/>
      <c r="AM70" s="452"/>
      <c r="AN70" s="560">
        <f>SUM(AA70:AM71)</f>
        <v>0.1</v>
      </c>
      <c r="AO70" s="493"/>
      <c r="AP70" s="494"/>
      <c r="AQ70" s="281"/>
      <c r="AR70" s="281"/>
      <c r="AS70" s="281"/>
      <c r="AT70" s="281"/>
    </row>
    <row r="71" spans="1:46" ht="5.0999999999999996" customHeight="1" thickBot="1">
      <c r="A71" s="510"/>
      <c r="B71" s="465"/>
      <c r="C71" s="458"/>
      <c r="D71" s="458"/>
      <c r="E71" s="458"/>
      <c r="F71" s="458"/>
      <c r="G71" s="508"/>
      <c r="H71" s="552"/>
      <c r="I71" s="553"/>
      <c r="J71" s="553"/>
      <c r="P71" s="284"/>
      <c r="Q71" s="291"/>
      <c r="R71" s="291"/>
      <c r="U71" s="510"/>
      <c r="V71" s="458"/>
      <c r="W71" s="458"/>
      <c r="X71" s="458"/>
      <c r="Y71" s="458"/>
      <c r="Z71" s="459"/>
      <c r="AA71" s="469"/>
      <c r="AB71" s="470"/>
      <c r="AC71" s="471"/>
      <c r="AD71" s="460"/>
      <c r="AE71" s="451"/>
      <c r="AF71" s="452"/>
      <c r="AG71" s="461"/>
      <c r="AH71" s="462"/>
      <c r="AI71" s="463"/>
      <c r="AJ71" s="450"/>
      <c r="AK71" s="451"/>
      <c r="AL71" s="451"/>
      <c r="AM71" s="452"/>
      <c r="AN71" s="492"/>
      <c r="AO71" s="493"/>
      <c r="AP71" s="494"/>
      <c r="AQ71" s="281"/>
      <c r="AR71" s="281"/>
      <c r="AS71" s="281"/>
      <c r="AT71" s="281"/>
    </row>
    <row r="72" spans="1:46" ht="5.0999999999999996" customHeight="1" thickBot="1">
      <c r="A72" s="510"/>
      <c r="H72" s="290"/>
      <c r="I72" s="290"/>
      <c r="J72" s="290"/>
      <c r="P72" s="284"/>
      <c r="Q72" s="291"/>
      <c r="R72" s="291"/>
      <c r="U72" s="510"/>
      <c r="AP72" s="284"/>
      <c r="AQ72" s="281"/>
      <c r="AR72" s="281"/>
      <c r="AS72" s="281"/>
      <c r="AT72" s="281"/>
    </row>
    <row r="73" spans="1:46" ht="5.0999999999999996" customHeight="1">
      <c r="A73" s="510"/>
      <c r="B73" s="464" t="s">
        <v>721</v>
      </c>
      <c r="C73" s="456"/>
      <c r="D73" s="456"/>
      <c r="E73" s="456"/>
      <c r="F73" s="456"/>
      <c r="G73" s="507"/>
      <c r="H73" s="552"/>
      <c r="I73" s="553"/>
      <c r="J73" s="553"/>
      <c r="P73" s="284"/>
      <c r="Q73" s="291"/>
      <c r="R73" s="291"/>
      <c r="U73" s="510"/>
      <c r="V73" s="456" t="s">
        <v>720</v>
      </c>
      <c r="W73" s="456"/>
      <c r="X73" s="456"/>
      <c r="Y73" s="456"/>
      <c r="Z73" s="457"/>
      <c r="AA73" s="466">
        <f>(5+2*Y35+AD35)/100</f>
        <v>0.05</v>
      </c>
      <c r="AB73" s="467"/>
      <c r="AC73" s="468"/>
      <c r="AD73" s="460"/>
      <c r="AE73" s="451"/>
      <c r="AF73" s="452"/>
      <c r="AG73" s="461"/>
      <c r="AH73" s="462"/>
      <c r="AI73" s="463"/>
      <c r="AJ73" s="450"/>
      <c r="AK73" s="451"/>
      <c r="AL73" s="451"/>
      <c r="AM73" s="452"/>
      <c r="AN73" s="560">
        <f>SUM(AA73:AM74)</f>
        <v>0.05</v>
      </c>
      <c r="AO73" s="493"/>
      <c r="AP73" s="494"/>
      <c r="AQ73" s="281"/>
      <c r="AR73" s="281"/>
      <c r="AS73" s="281"/>
      <c r="AT73" s="281"/>
    </row>
    <row r="74" spans="1:46" ht="5.0999999999999996" customHeight="1" thickBot="1">
      <c r="A74" s="510"/>
      <c r="B74" s="465"/>
      <c r="C74" s="458"/>
      <c r="D74" s="458"/>
      <c r="E74" s="458"/>
      <c r="F74" s="458"/>
      <c r="G74" s="508"/>
      <c r="H74" s="552"/>
      <c r="I74" s="553"/>
      <c r="J74" s="553"/>
      <c r="P74" s="284"/>
      <c r="Q74" s="291"/>
      <c r="R74" s="291"/>
      <c r="U74" s="510"/>
      <c r="V74" s="458"/>
      <c r="W74" s="458"/>
      <c r="X74" s="458"/>
      <c r="Y74" s="458"/>
      <c r="Z74" s="459"/>
      <c r="AA74" s="469"/>
      <c r="AB74" s="470"/>
      <c r="AC74" s="471"/>
      <c r="AD74" s="460"/>
      <c r="AE74" s="451"/>
      <c r="AF74" s="452"/>
      <c r="AG74" s="461"/>
      <c r="AH74" s="462"/>
      <c r="AI74" s="463"/>
      <c r="AJ74" s="450"/>
      <c r="AK74" s="451"/>
      <c r="AL74" s="451"/>
      <c r="AM74" s="452"/>
      <c r="AN74" s="492"/>
      <c r="AO74" s="493"/>
      <c r="AP74" s="494"/>
      <c r="AQ74" s="281"/>
      <c r="AR74" s="281"/>
      <c r="AS74" s="281"/>
      <c r="AT74" s="281"/>
    </row>
    <row r="75" spans="1:46" ht="5.0999999999999996" customHeight="1" thickBot="1">
      <c r="A75" s="510"/>
      <c r="H75" s="290"/>
      <c r="I75" s="290"/>
      <c r="J75" s="290"/>
      <c r="P75" s="284"/>
      <c r="Q75" s="291"/>
      <c r="R75" s="291"/>
      <c r="U75" s="510"/>
      <c r="AP75" s="284"/>
      <c r="AQ75" s="281"/>
      <c r="AR75" s="281"/>
      <c r="AS75" s="281"/>
      <c r="AT75" s="281"/>
    </row>
    <row r="76" spans="1:46" ht="5.0999999999999996" customHeight="1">
      <c r="A76" s="510"/>
      <c r="B76" s="464" t="s">
        <v>719</v>
      </c>
      <c r="C76" s="456"/>
      <c r="D76" s="456"/>
      <c r="E76" s="456"/>
      <c r="F76" s="456"/>
      <c r="G76" s="507"/>
      <c r="H76" s="552"/>
      <c r="I76" s="553"/>
      <c r="J76" s="553"/>
      <c r="P76" s="284"/>
      <c r="Q76" s="291"/>
      <c r="R76" s="291"/>
      <c r="U76" s="510"/>
      <c r="V76" s="456" t="s">
        <v>718</v>
      </c>
      <c r="W76" s="456"/>
      <c r="X76" s="456"/>
      <c r="Y76" s="456"/>
      <c r="Z76" s="457"/>
      <c r="AA76" s="466">
        <f>(10+5*AD35)/100</f>
        <v>0.1</v>
      </c>
      <c r="AB76" s="467"/>
      <c r="AC76" s="468"/>
      <c r="AD76" s="460"/>
      <c r="AE76" s="451"/>
      <c r="AF76" s="452"/>
      <c r="AG76" s="461"/>
      <c r="AH76" s="462"/>
      <c r="AI76" s="463"/>
      <c r="AJ76" s="450"/>
      <c r="AK76" s="451"/>
      <c r="AL76" s="451"/>
      <c r="AM76" s="452"/>
      <c r="AN76" s="560">
        <f>SUM(AA76:AM77)</f>
        <v>0.1</v>
      </c>
      <c r="AO76" s="493"/>
      <c r="AP76" s="494"/>
      <c r="AQ76" s="281"/>
      <c r="AR76" s="281"/>
      <c r="AS76" s="281"/>
      <c r="AT76" s="281"/>
    </row>
    <row r="77" spans="1:46" ht="5.0999999999999996" customHeight="1" thickBot="1">
      <c r="A77" s="510"/>
      <c r="B77" s="465"/>
      <c r="C77" s="458"/>
      <c r="D77" s="458"/>
      <c r="E77" s="458"/>
      <c r="F77" s="458"/>
      <c r="G77" s="508"/>
      <c r="H77" s="552"/>
      <c r="I77" s="553"/>
      <c r="J77" s="553"/>
      <c r="P77" s="284"/>
      <c r="Q77" s="291"/>
      <c r="R77" s="291"/>
      <c r="U77" s="510"/>
      <c r="V77" s="458"/>
      <c r="W77" s="458"/>
      <c r="X77" s="458"/>
      <c r="Y77" s="458"/>
      <c r="Z77" s="459"/>
      <c r="AA77" s="469"/>
      <c r="AB77" s="470"/>
      <c r="AC77" s="471"/>
      <c r="AD77" s="460"/>
      <c r="AE77" s="451"/>
      <c r="AF77" s="452"/>
      <c r="AG77" s="461"/>
      <c r="AH77" s="462"/>
      <c r="AI77" s="463"/>
      <c r="AJ77" s="450"/>
      <c r="AK77" s="451"/>
      <c r="AL77" s="451"/>
      <c r="AM77" s="452"/>
      <c r="AN77" s="492"/>
      <c r="AO77" s="493"/>
      <c r="AP77" s="494"/>
      <c r="AQ77" s="281"/>
      <c r="AR77" s="281"/>
      <c r="AS77" s="281"/>
      <c r="AT77" s="281"/>
    </row>
    <row r="78" spans="1:46" ht="5.0999999999999996" customHeight="1" thickBot="1">
      <c r="A78" s="510"/>
      <c r="H78" s="290"/>
      <c r="I78" s="290"/>
      <c r="J78" s="290"/>
      <c r="P78" s="284"/>
      <c r="Q78" s="291"/>
      <c r="R78" s="291"/>
      <c r="U78" s="510"/>
      <c r="AP78" s="284"/>
      <c r="AQ78" s="281"/>
      <c r="AR78" s="281"/>
      <c r="AS78" s="281"/>
      <c r="AT78" s="281"/>
    </row>
    <row r="79" spans="1:46" ht="5.0999999999999996" customHeight="1">
      <c r="A79" s="510"/>
      <c r="B79" s="464" t="s">
        <v>717</v>
      </c>
      <c r="C79" s="456"/>
      <c r="D79" s="456"/>
      <c r="E79" s="456"/>
      <c r="F79" s="507"/>
      <c r="G79" s="552">
        <f>H67</f>
        <v>15</v>
      </c>
      <c r="H79" s="553"/>
      <c r="I79" s="592">
        <f>H67/100*51</f>
        <v>7.6499999999999995</v>
      </c>
      <c r="J79" s="592"/>
      <c r="P79" s="284"/>
      <c r="Q79" s="291"/>
      <c r="R79" s="291"/>
      <c r="U79" s="510"/>
      <c r="V79" s="456" t="s">
        <v>716</v>
      </c>
      <c r="W79" s="456"/>
      <c r="X79" s="456"/>
      <c r="Y79" s="456"/>
      <c r="Z79" s="457"/>
      <c r="AA79" s="466">
        <f>(5+2*AI35+N35)/100</f>
        <v>0.05</v>
      </c>
      <c r="AB79" s="467"/>
      <c r="AC79" s="468"/>
      <c r="AD79" s="460"/>
      <c r="AE79" s="451"/>
      <c r="AF79" s="452"/>
      <c r="AG79" s="461"/>
      <c r="AH79" s="462"/>
      <c r="AI79" s="463"/>
      <c r="AJ79" s="450"/>
      <c r="AK79" s="451"/>
      <c r="AL79" s="451"/>
      <c r="AM79" s="452"/>
      <c r="AN79" s="560">
        <f>SUM(AA79:AM80)</f>
        <v>0.05</v>
      </c>
      <c r="AO79" s="493"/>
      <c r="AP79" s="494"/>
      <c r="AQ79" s="281"/>
      <c r="AR79" s="281"/>
      <c r="AS79" s="281"/>
      <c r="AT79" s="281"/>
    </row>
    <row r="80" spans="1:46" ht="5.0999999999999996" customHeight="1" thickBot="1">
      <c r="A80" s="510"/>
      <c r="B80" s="465"/>
      <c r="C80" s="458"/>
      <c r="D80" s="458"/>
      <c r="E80" s="458"/>
      <c r="F80" s="508"/>
      <c r="G80" s="552"/>
      <c r="H80" s="553"/>
      <c r="I80" s="592"/>
      <c r="J80" s="592"/>
      <c r="P80" s="284"/>
      <c r="Q80" s="291"/>
      <c r="R80" s="291"/>
      <c r="U80" s="510"/>
      <c r="V80" s="458"/>
      <c r="W80" s="458"/>
      <c r="X80" s="458"/>
      <c r="Y80" s="458"/>
      <c r="Z80" s="459"/>
      <c r="AA80" s="469"/>
      <c r="AB80" s="470"/>
      <c r="AC80" s="471"/>
      <c r="AD80" s="460"/>
      <c r="AE80" s="451"/>
      <c r="AF80" s="452"/>
      <c r="AG80" s="461"/>
      <c r="AH80" s="462"/>
      <c r="AI80" s="463"/>
      <c r="AJ80" s="450"/>
      <c r="AK80" s="451"/>
      <c r="AL80" s="451"/>
      <c r="AM80" s="452"/>
      <c r="AN80" s="492"/>
      <c r="AO80" s="493"/>
      <c r="AP80" s="494"/>
      <c r="AQ80" s="281"/>
      <c r="AR80" s="281"/>
      <c r="AS80" s="281"/>
      <c r="AT80" s="281"/>
    </row>
    <row r="81" spans="1:46" ht="5.0999999999999996" customHeight="1" thickBot="1">
      <c r="A81" s="510"/>
      <c r="G81" s="290"/>
      <c r="H81" s="290"/>
      <c r="I81" s="290"/>
      <c r="J81" s="290"/>
      <c r="P81" s="284"/>
      <c r="U81" s="510"/>
      <c r="AP81" s="284"/>
      <c r="AQ81" s="281"/>
      <c r="AR81" s="281"/>
      <c r="AS81" s="281"/>
      <c r="AT81" s="281"/>
    </row>
    <row r="82" spans="1:46" ht="5.0999999999999996" customHeight="1">
      <c r="A82" s="510"/>
      <c r="B82" s="464" t="s">
        <v>715</v>
      </c>
      <c r="C82" s="456"/>
      <c r="D82" s="456"/>
      <c r="E82" s="456"/>
      <c r="F82" s="507"/>
      <c r="G82" s="552">
        <f>H67/2</f>
        <v>7.5</v>
      </c>
      <c r="H82" s="553"/>
      <c r="I82" s="592">
        <f>H67/100*26</f>
        <v>3.9</v>
      </c>
      <c r="J82" s="592"/>
      <c r="L82" s="595">
        <v>-0.1</v>
      </c>
      <c r="M82" s="595"/>
      <c r="N82" s="595"/>
      <c r="O82" s="595"/>
      <c r="P82" s="596"/>
      <c r="U82" s="510"/>
      <c r="V82" s="456" t="s">
        <v>714</v>
      </c>
      <c r="W82" s="456"/>
      <c r="X82" s="456"/>
      <c r="Y82" s="456"/>
      <c r="Z82" s="457"/>
      <c r="AA82" s="466">
        <f>(10+3*AM35+2*AD35)/100</f>
        <v>0.1</v>
      </c>
      <c r="AB82" s="467"/>
      <c r="AC82" s="468"/>
      <c r="AD82" s="460"/>
      <c r="AE82" s="451"/>
      <c r="AF82" s="452"/>
      <c r="AG82" s="461"/>
      <c r="AH82" s="462"/>
      <c r="AI82" s="463"/>
      <c r="AJ82" s="450"/>
      <c r="AK82" s="451"/>
      <c r="AL82" s="451"/>
      <c r="AM82" s="452"/>
      <c r="AN82" s="560">
        <f>SUM(AA82:AM83)</f>
        <v>0.1</v>
      </c>
      <c r="AO82" s="493"/>
      <c r="AP82" s="494"/>
      <c r="AQ82" s="281"/>
      <c r="AR82" s="281"/>
      <c r="AS82" s="281"/>
      <c r="AT82" s="281"/>
    </row>
    <row r="83" spans="1:46" ht="5.0999999999999996" customHeight="1" thickBot="1">
      <c r="A83" s="510"/>
      <c r="B83" s="465"/>
      <c r="C83" s="458"/>
      <c r="D83" s="458"/>
      <c r="E83" s="458"/>
      <c r="F83" s="508"/>
      <c r="G83" s="552"/>
      <c r="H83" s="553"/>
      <c r="I83" s="592"/>
      <c r="J83" s="592"/>
      <c r="L83" s="595"/>
      <c r="M83" s="595"/>
      <c r="N83" s="595"/>
      <c r="O83" s="595"/>
      <c r="P83" s="596"/>
      <c r="U83" s="510"/>
      <c r="V83" s="458"/>
      <c r="W83" s="458"/>
      <c r="X83" s="458"/>
      <c r="Y83" s="458"/>
      <c r="Z83" s="459"/>
      <c r="AA83" s="469"/>
      <c r="AB83" s="470"/>
      <c r="AC83" s="471"/>
      <c r="AD83" s="460"/>
      <c r="AE83" s="451"/>
      <c r="AF83" s="452"/>
      <c r="AG83" s="461"/>
      <c r="AH83" s="462"/>
      <c r="AI83" s="463"/>
      <c r="AJ83" s="450"/>
      <c r="AK83" s="451"/>
      <c r="AL83" s="451"/>
      <c r="AM83" s="452"/>
      <c r="AN83" s="492"/>
      <c r="AO83" s="493"/>
      <c r="AP83" s="494"/>
      <c r="AQ83" s="281"/>
      <c r="AR83" s="281"/>
      <c r="AS83" s="281"/>
      <c r="AT83" s="281"/>
    </row>
    <row r="84" spans="1:46" ht="5.0999999999999996" customHeight="1" thickBot="1">
      <c r="A84" s="510"/>
      <c r="G84" s="290"/>
      <c r="H84" s="290"/>
      <c r="I84" s="290"/>
      <c r="J84" s="290"/>
      <c r="P84" s="284"/>
      <c r="U84" s="510"/>
      <c r="AP84" s="284"/>
      <c r="AQ84" s="281"/>
      <c r="AR84" s="281"/>
      <c r="AS84" s="281"/>
      <c r="AT84" s="281"/>
    </row>
    <row r="85" spans="1:46" ht="5.0999999999999996" customHeight="1">
      <c r="A85" s="510"/>
      <c r="B85" s="464" t="s">
        <v>713</v>
      </c>
      <c r="C85" s="456"/>
      <c r="D85" s="456"/>
      <c r="E85" s="456"/>
      <c r="F85" s="507"/>
      <c r="G85" s="552">
        <f>H67/4</f>
        <v>3.75</v>
      </c>
      <c r="H85" s="553"/>
      <c r="I85" s="592">
        <f>H67/100</f>
        <v>0.15</v>
      </c>
      <c r="J85" s="592"/>
      <c r="L85" s="595">
        <v>-0.3</v>
      </c>
      <c r="M85" s="595"/>
      <c r="N85" s="595"/>
      <c r="O85" s="595"/>
      <c r="P85" s="596"/>
      <c r="U85" s="510"/>
      <c r="V85" s="456" t="s">
        <v>712</v>
      </c>
      <c r="W85" s="456"/>
      <c r="X85" s="456"/>
      <c r="Y85" s="456"/>
      <c r="Z85" s="457"/>
      <c r="AA85" s="466">
        <f>(5+S35+AD35+N35)/100</f>
        <v>0.05</v>
      </c>
      <c r="AB85" s="467"/>
      <c r="AC85" s="468"/>
      <c r="AD85" s="460"/>
      <c r="AE85" s="451"/>
      <c r="AF85" s="452"/>
      <c r="AG85" s="461"/>
      <c r="AH85" s="462"/>
      <c r="AI85" s="463"/>
      <c r="AJ85" s="450"/>
      <c r="AK85" s="451"/>
      <c r="AL85" s="451"/>
      <c r="AM85" s="452"/>
      <c r="AN85" s="560">
        <f>SUM(AA85:AM86)</f>
        <v>0.05</v>
      </c>
      <c r="AO85" s="493"/>
      <c r="AP85" s="494"/>
      <c r="AQ85" s="281"/>
      <c r="AR85" s="281"/>
      <c r="AS85" s="281"/>
      <c r="AT85" s="281"/>
    </row>
    <row r="86" spans="1:46" ht="5.0999999999999996" customHeight="1" thickBot="1">
      <c r="A86" s="510"/>
      <c r="B86" s="465"/>
      <c r="C86" s="458"/>
      <c r="D86" s="458"/>
      <c r="E86" s="458"/>
      <c r="F86" s="508"/>
      <c r="G86" s="552"/>
      <c r="H86" s="553"/>
      <c r="I86" s="592"/>
      <c r="J86" s="592"/>
      <c r="L86" s="595"/>
      <c r="M86" s="595"/>
      <c r="N86" s="595"/>
      <c r="O86" s="595"/>
      <c r="P86" s="596"/>
      <c r="U86" s="510"/>
      <c r="V86" s="458"/>
      <c r="W86" s="458"/>
      <c r="X86" s="458"/>
      <c r="Y86" s="458"/>
      <c r="Z86" s="459"/>
      <c r="AA86" s="469"/>
      <c r="AB86" s="470"/>
      <c r="AC86" s="471"/>
      <c r="AD86" s="460"/>
      <c r="AE86" s="451"/>
      <c r="AF86" s="452"/>
      <c r="AG86" s="461"/>
      <c r="AH86" s="462"/>
      <c r="AI86" s="463"/>
      <c r="AJ86" s="450"/>
      <c r="AK86" s="451"/>
      <c r="AL86" s="451"/>
      <c r="AM86" s="452"/>
      <c r="AN86" s="492"/>
      <c r="AO86" s="493"/>
      <c r="AP86" s="494"/>
      <c r="AQ86" s="281"/>
      <c r="AR86" s="281"/>
      <c r="AS86" s="281"/>
      <c r="AT86" s="281"/>
    </row>
    <row r="87" spans="1:46" ht="5.0999999999999996" customHeight="1" thickBot="1">
      <c r="A87" s="510"/>
      <c r="G87" s="290"/>
      <c r="H87" s="290"/>
      <c r="I87" s="290"/>
      <c r="J87" s="290"/>
      <c r="P87" s="284"/>
      <c r="U87" s="510"/>
      <c r="AP87" s="284"/>
      <c r="AQ87" s="281"/>
      <c r="AR87" s="281"/>
      <c r="AS87" s="281"/>
      <c r="AT87" s="281"/>
    </row>
    <row r="88" spans="1:46" ht="5.0999999999999996" customHeight="1">
      <c r="A88" s="510"/>
      <c r="B88" s="464" t="s">
        <v>711</v>
      </c>
      <c r="C88" s="456"/>
      <c r="D88" s="456"/>
      <c r="E88" s="456"/>
      <c r="F88" s="507"/>
      <c r="G88" s="552">
        <v>0</v>
      </c>
      <c r="H88" s="553"/>
      <c r="I88" s="592">
        <v>-5</v>
      </c>
      <c r="J88" s="592"/>
      <c r="L88" s="493" t="s">
        <v>708</v>
      </c>
      <c r="M88" s="493"/>
      <c r="N88" s="493"/>
      <c r="O88" s="493"/>
      <c r="P88" s="494"/>
      <c r="U88" s="510"/>
      <c r="V88" s="456" t="s">
        <v>710</v>
      </c>
      <c r="W88" s="456"/>
      <c r="X88" s="456"/>
      <c r="Y88" s="456"/>
      <c r="Z88" s="457"/>
      <c r="AA88" s="466">
        <f>(5+AD35+Y35+AM35)/100</f>
        <v>0.05</v>
      </c>
      <c r="AB88" s="467"/>
      <c r="AC88" s="468"/>
      <c r="AD88" s="460"/>
      <c r="AE88" s="451"/>
      <c r="AF88" s="452"/>
      <c r="AG88" s="461"/>
      <c r="AH88" s="462"/>
      <c r="AI88" s="463"/>
      <c r="AJ88" s="450"/>
      <c r="AK88" s="451"/>
      <c r="AL88" s="451"/>
      <c r="AM88" s="452"/>
      <c r="AN88" s="560">
        <f>SUM(AA88:AM89)</f>
        <v>0.05</v>
      </c>
      <c r="AO88" s="493"/>
      <c r="AP88" s="494"/>
      <c r="AQ88" s="281"/>
      <c r="AR88" s="281"/>
      <c r="AS88" s="281"/>
      <c r="AT88" s="281"/>
    </row>
    <row r="89" spans="1:46" ht="5.0999999999999996" customHeight="1" thickBot="1">
      <c r="A89" s="510"/>
      <c r="B89" s="465"/>
      <c r="C89" s="458"/>
      <c r="D89" s="458"/>
      <c r="E89" s="458"/>
      <c r="F89" s="508"/>
      <c r="G89" s="552"/>
      <c r="H89" s="553"/>
      <c r="I89" s="592"/>
      <c r="J89" s="592"/>
      <c r="L89" s="493"/>
      <c r="M89" s="493"/>
      <c r="N89" s="493"/>
      <c r="O89" s="493"/>
      <c r="P89" s="494"/>
      <c r="U89" s="510"/>
      <c r="V89" s="458"/>
      <c r="W89" s="458"/>
      <c r="X89" s="458"/>
      <c r="Y89" s="458"/>
      <c r="Z89" s="459"/>
      <c r="AA89" s="469"/>
      <c r="AB89" s="470"/>
      <c r="AC89" s="471"/>
      <c r="AD89" s="460"/>
      <c r="AE89" s="451"/>
      <c r="AF89" s="452"/>
      <c r="AG89" s="461"/>
      <c r="AH89" s="462"/>
      <c r="AI89" s="463"/>
      <c r="AJ89" s="450"/>
      <c r="AK89" s="451"/>
      <c r="AL89" s="451"/>
      <c r="AM89" s="452"/>
      <c r="AN89" s="492"/>
      <c r="AO89" s="493"/>
      <c r="AP89" s="494"/>
      <c r="AQ89" s="281"/>
      <c r="AR89" s="281"/>
      <c r="AS89" s="281"/>
      <c r="AT89" s="281"/>
    </row>
    <row r="90" spans="1:46" ht="5.0999999999999996" customHeight="1" thickBot="1">
      <c r="A90" s="510"/>
      <c r="G90" s="290"/>
      <c r="H90" s="290"/>
      <c r="I90" s="290"/>
      <c r="J90" s="290"/>
      <c r="P90" s="284"/>
      <c r="U90" s="510"/>
      <c r="AP90" s="284"/>
      <c r="AQ90" s="281"/>
      <c r="AR90" s="281"/>
      <c r="AS90" s="281"/>
      <c r="AT90" s="281"/>
    </row>
    <row r="91" spans="1:46" ht="5.0999999999999996" customHeight="1">
      <c r="A91" s="510"/>
      <c r="B91" s="464" t="s">
        <v>709</v>
      </c>
      <c r="C91" s="456"/>
      <c r="D91" s="456"/>
      <c r="E91" s="456"/>
      <c r="F91" s="507"/>
      <c r="G91" s="552">
        <v>-5</v>
      </c>
      <c r="H91" s="553"/>
      <c r="I91" s="592" t="s">
        <v>282</v>
      </c>
      <c r="J91" s="592"/>
      <c r="L91" s="493" t="s">
        <v>708</v>
      </c>
      <c r="M91" s="493"/>
      <c r="N91" s="493"/>
      <c r="O91" s="493"/>
      <c r="P91" s="494"/>
      <c r="U91" s="510"/>
      <c r="V91" s="456" t="s">
        <v>707</v>
      </c>
      <c r="W91" s="456"/>
      <c r="X91" s="456"/>
      <c r="Y91" s="456"/>
      <c r="Z91" s="457"/>
      <c r="AA91" s="466">
        <f>(5+2*AI35+AM35)/100</f>
        <v>0.05</v>
      </c>
      <c r="AB91" s="467"/>
      <c r="AC91" s="468"/>
      <c r="AD91" s="460"/>
      <c r="AE91" s="451"/>
      <c r="AF91" s="452"/>
      <c r="AG91" s="461"/>
      <c r="AH91" s="462"/>
      <c r="AI91" s="463"/>
      <c r="AJ91" s="450"/>
      <c r="AK91" s="451"/>
      <c r="AL91" s="451"/>
      <c r="AM91" s="452"/>
      <c r="AN91" s="560">
        <f>SUM(AA91:AM92)</f>
        <v>0.05</v>
      </c>
      <c r="AO91" s="493"/>
      <c r="AP91" s="494"/>
      <c r="AQ91" s="281"/>
      <c r="AR91" s="281"/>
      <c r="AS91" s="281"/>
      <c r="AT91" s="281"/>
    </row>
    <row r="92" spans="1:46" ht="4.5" customHeight="1" thickBot="1">
      <c r="A92" s="511"/>
      <c r="B92" s="465"/>
      <c r="C92" s="458"/>
      <c r="D92" s="458"/>
      <c r="E92" s="458"/>
      <c r="F92" s="508"/>
      <c r="G92" s="588"/>
      <c r="H92" s="589"/>
      <c r="I92" s="594"/>
      <c r="J92" s="594"/>
      <c r="K92" s="288"/>
      <c r="L92" s="496"/>
      <c r="M92" s="496"/>
      <c r="N92" s="496"/>
      <c r="O92" s="496"/>
      <c r="P92" s="497"/>
      <c r="U92" s="510"/>
      <c r="V92" s="458"/>
      <c r="W92" s="458"/>
      <c r="X92" s="458"/>
      <c r="Y92" s="458"/>
      <c r="Z92" s="459"/>
      <c r="AA92" s="469"/>
      <c r="AB92" s="470"/>
      <c r="AC92" s="471"/>
      <c r="AD92" s="460"/>
      <c r="AE92" s="451"/>
      <c r="AF92" s="452"/>
      <c r="AG92" s="461"/>
      <c r="AH92" s="462"/>
      <c r="AI92" s="463"/>
      <c r="AJ92" s="450"/>
      <c r="AK92" s="451"/>
      <c r="AL92" s="451"/>
      <c r="AM92" s="452"/>
      <c r="AN92" s="492"/>
      <c r="AO92" s="493"/>
      <c r="AP92" s="494"/>
      <c r="AQ92" s="281"/>
      <c r="AR92" s="281"/>
      <c r="AS92" s="281"/>
      <c r="AT92" s="281"/>
    </row>
    <row r="93" spans="1:46" ht="12" hidden="1" customHeight="1">
      <c r="U93" s="510"/>
      <c r="V93" s="512" t="s">
        <v>706</v>
      </c>
      <c r="W93" s="513"/>
      <c r="X93" s="513"/>
      <c r="Y93" s="513"/>
      <c r="Z93" s="513"/>
      <c r="AA93" s="513"/>
      <c r="AB93" s="513"/>
      <c r="AC93" s="513"/>
      <c r="AD93" s="513"/>
      <c r="AE93" s="513"/>
      <c r="AF93" s="513"/>
      <c r="AG93" s="513"/>
      <c r="AH93" s="513"/>
      <c r="AI93" s="513"/>
      <c r="AJ93" s="513"/>
      <c r="AK93" s="513"/>
      <c r="AL93" s="513"/>
      <c r="AM93" s="513"/>
      <c r="AN93" s="513"/>
      <c r="AO93" s="513"/>
      <c r="AP93" s="514"/>
      <c r="AQ93" s="281"/>
      <c r="AR93" s="281"/>
      <c r="AS93" s="281"/>
      <c r="AT93" s="281"/>
    </row>
    <row r="94" spans="1:46" ht="15.75" customHeight="1">
      <c r="A94" s="531" t="s">
        <v>705</v>
      </c>
      <c r="B94" s="456" t="s">
        <v>704</v>
      </c>
      <c r="C94" s="456"/>
      <c r="D94" s="456"/>
      <c r="E94" s="456"/>
      <c r="F94" s="507"/>
      <c r="G94" s="441">
        <v>1</v>
      </c>
      <c r="H94" s="442"/>
      <c r="I94" s="442"/>
      <c r="J94" s="443"/>
      <c r="L94" s="509" t="s">
        <v>703</v>
      </c>
      <c r="M94" s="441"/>
      <c r="N94" s="442"/>
      <c r="O94" s="442"/>
      <c r="P94" s="442"/>
      <c r="Q94" s="442"/>
      <c r="R94" s="443"/>
      <c r="U94" s="510"/>
      <c r="V94" s="512"/>
      <c r="W94" s="513"/>
      <c r="X94" s="513"/>
      <c r="Y94" s="513"/>
      <c r="Z94" s="513"/>
      <c r="AA94" s="513"/>
      <c r="AB94" s="513"/>
      <c r="AC94" s="513"/>
      <c r="AD94" s="513"/>
      <c r="AE94" s="513"/>
      <c r="AF94" s="513"/>
      <c r="AG94" s="513"/>
      <c r="AH94" s="513"/>
      <c r="AI94" s="513"/>
      <c r="AJ94" s="513"/>
      <c r="AK94" s="513"/>
      <c r="AL94" s="513"/>
      <c r="AM94" s="513"/>
      <c r="AN94" s="513"/>
      <c r="AO94" s="513"/>
      <c r="AP94" s="514"/>
      <c r="AQ94" s="281"/>
      <c r="AR94" s="281"/>
      <c r="AS94" s="281"/>
      <c r="AT94" s="281"/>
    </row>
    <row r="95" spans="1:46" ht="5.0999999999999996" customHeight="1">
      <c r="A95" s="532"/>
      <c r="B95" s="458"/>
      <c r="C95" s="458"/>
      <c r="D95" s="458"/>
      <c r="E95" s="458"/>
      <c r="F95" s="508"/>
      <c r="G95" s="444"/>
      <c r="H95" s="445"/>
      <c r="I95" s="445"/>
      <c r="J95" s="446"/>
      <c r="L95" s="510"/>
      <c r="M95" s="444"/>
      <c r="N95" s="445"/>
      <c r="O95" s="445"/>
      <c r="P95" s="445"/>
      <c r="Q95" s="445"/>
      <c r="R95" s="446"/>
      <c r="U95" s="511"/>
      <c r="V95" s="515"/>
      <c r="W95" s="516"/>
      <c r="X95" s="516"/>
      <c r="Y95" s="516"/>
      <c r="Z95" s="516"/>
      <c r="AA95" s="516"/>
      <c r="AB95" s="516"/>
      <c r="AC95" s="516"/>
      <c r="AD95" s="516"/>
      <c r="AE95" s="516"/>
      <c r="AF95" s="516"/>
      <c r="AG95" s="516"/>
      <c r="AH95" s="516"/>
      <c r="AI95" s="516"/>
      <c r="AJ95" s="516"/>
      <c r="AK95" s="516"/>
      <c r="AL95" s="516"/>
      <c r="AM95" s="516"/>
      <c r="AN95" s="516"/>
      <c r="AO95" s="516"/>
      <c r="AP95" s="517"/>
      <c r="AQ95" s="281"/>
      <c r="AR95" s="281"/>
      <c r="AS95" s="281"/>
      <c r="AT95" s="281"/>
    </row>
    <row r="96" spans="1:46" ht="5.0999999999999996" customHeight="1">
      <c r="A96" s="532"/>
      <c r="J96" s="284"/>
      <c r="L96" s="510"/>
      <c r="M96" s="444"/>
      <c r="N96" s="445"/>
      <c r="O96" s="445"/>
      <c r="P96" s="445"/>
      <c r="Q96" s="445"/>
      <c r="R96" s="446"/>
      <c r="X96" s="296"/>
      <c r="Y96" s="296"/>
      <c r="Z96" s="296"/>
      <c r="AA96" s="296"/>
      <c r="AB96" s="296"/>
      <c r="AC96" s="296"/>
      <c r="AD96" s="296"/>
      <c r="AE96" s="296"/>
      <c r="AI96" s="296"/>
      <c r="AJ96" s="296"/>
      <c r="AK96" s="296"/>
      <c r="AL96" s="296"/>
      <c r="AM96" s="296"/>
      <c r="AN96" s="296"/>
      <c r="AO96" s="296"/>
      <c r="AP96" s="296"/>
      <c r="AQ96" s="281"/>
      <c r="AR96" s="281"/>
      <c r="AS96" s="281"/>
      <c r="AT96" s="281"/>
    </row>
    <row r="97" spans="1:46" ht="5.0999999999999996" customHeight="1">
      <c r="A97" s="532"/>
      <c r="B97" s="456" t="s">
        <v>702</v>
      </c>
      <c r="C97" s="456"/>
      <c r="D97" s="456"/>
      <c r="E97" s="456"/>
      <c r="F97" s="507"/>
      <c r="G97" s="444">
        <v>0</v>
      </c>
      <c r="H97" s="445"/>
      <c r="I97" s="445"/>
      <c r="J97" s="446"/>
      <c r="L97" s="510"/>
      <c r="M97" s="283"/>
      <c r="R97" s="284"/>
      <c r="U97" s="509" t="s">
        <v>701</v>
      </c>
      <c r="V97" s="565">
        <f>0</f>
        <v>0</v>
      </c>
      <c r="W97" s="519"/>
      <c r="X97" s="519"/>
      <c r="Y97" s="519"/>
      <c r="Z97" s="519"/>
      <c r="AA97" s="520"/>
      <c r="AB97" s="456" t="s">
        <v>700</v>
      </c>
      <c r="AC97" s="507"/>
      <c r="AD97" s="464" t="s">
        <v>699</v>
      </c>
      <c r="AE97" s="456"/>
      <c r="AF97" s="507"/>
      <c r="AG97" s="289"/>
      <c r="AH97" s="289"/>
      <c r="AI97" s="289"/>
      <c r="AJ97" s="289"/>
      <c r="AK97" s="289"/>
      <c r="AL97" s="464" t="s">
        <v>700</v>
      </c>
      <c r="AM97" s="507"/>
      <c r="AN97" s="464" t="s">
        <v>699</v>
      </c>
      <c r="AO97" s="456"/>
      <c r="AP97" s="507"/>
      <c r="AQ97" s="281"/>
      <c r="AR97" s="281"/>
      <c r="AS97" s="281"/>
      <c r="AT97" s="281"/>
    </row>
    <row r="98" spans="1:46" ht="5.0999999999999996" customHeight="1">
      <c r="A98" s="532"/>
      <c r="B98" s="458"/>
      <c r="C98" s="458"/>
      <c r="D98" s="458"/>
      <c r="E98" s="458"/>
      <c r="F98" s="508"/>
      <c r="G98" s="444"/>
      <c r="H98" s="445"/>
      <c r="I98" s="445"/>
      <c r="J98" s="446"/>
      <c r="L98" s="510"/>
      <c r="M98" s="444"/>
      <c r="N98" s="445"/>
      <c r="O98" s="445"/>
      <c r="P98" s="445"/>
      <c r="Q98" s="445"/>
      <c r="R98" s="446"/>
      <c r="U98" s="510"/>
      <c r="V98" s="569"/>
      <c r="W98" s="521"/>
      <c r="X98" s="521"/>
      <c r="Y98" s="521"/>
      <c r="Z98" s="521"/>
      <c r="AA98" s="522"/>
      <c r="AB98" s="458"/>
      <c r="AC98" s="508"/>
      <c r="AD98" s="465"/>
      <c r="AE98" s="458"/>
      <c r="AF98" s="508"/>
      <c r="AL98" s="465"/>
      <c r="AM98" s="508"/>
      <c r="AN98" s="465"/>
      <c r="AO98" s="458"/>
      <c r="AP98" s="508"/>
      <c r="AQ98" s="281"/>
      <c r="AR98" s="281"/>
      <c r="AS98" s="281"/>
      <c r="AT98" s="281"/>
    </row>
    <row r="99" spans="1:46" ht="5.0999999999999996" customHeight="1">
      <c r="A99" s="532"/>
      <c r="J99" s="284"/>
      <c r="L99" s="510"/>
      <c r="M99" s="444"/>
      <c r="N99" s="445"/>
      <c r="O99" s="445"/>
      <c r="P99" s="445"/>
      <c r="Q99" s="445"/>
      <c r="R99" s="446"/>
      <c r="U99" s="510"/>
      <c r="V99" s="626" t="s">
        <v>698</v>
      </c>
      <c r="W99" s="627"/>
      <c r="X99" s="627"/>
      <c r="Y99" s="627"/>
      <c r="Z99" s="627"/>
      <c r="AA99" s="628"/>
      <c r="AB99" s="441">
        <v>1</v>
      </c>
      <c r="AC99" s="442"/>
      <c r="AD99" s="617">
        <f>VLOOKUP(AB99,Base!G3:H9,2)</f>
        <v>0</v>
      </c>
      <c r="AE99" s="617"/>
      <c r="AF99" s="618"/>
      <c r="AG99" s="607" t="s">
        <v>697</v>
      </c>
      <c r="AH99" s="608"/>
      <c r="AI99" s="608"/>
      <c r="AJ99" s="608"/>
      <c r="AK99" s="609"/>
      <c r="AL99" s="613">
        <v>0</v>
      </c>
      <c r="AM99" s="614"/>
      <c r="AN99" s="615">
        <f>VLOOKUP(AL99,Base!G3:H9,2)</f>
        <v>-0.1</v>
      </c>
      <c r="AO99" s="615"/>
      <c r="AP99" s="619"/>
      <c r="AQ99" s="281"/>
      <c r="AR99" s="281"/>
      <c r="AS99" s="281"/>
      <c r="AT99" s="281"/>
    </row>
    <row r="100" spans="1:46" ht="3.95" customHeight="1">
      <c r="A100" s="532"/>
      <c r="B100" s="456" t="s">
        <v>696</v>
      </c>
      <c r="C100" s="456"/>
      <c r="D100" s="456"/>
      <c r="E100" s="456"/>
      <c r="F100" s="507"/>
      <c r="G100" s="444">
        <f>10+AD35+(G94*G112)-G112</f>
        <v>10</v>
      </c>
      <c r="H100" s="445"/>
      <c r="I100" s="445"/>
      <c r="J100" s="446"/>
      <c r="L100" s="511"/>
      <c r="M100" s="447"/>
      <c r="N100" s="448"/>
      <c r="O100" s="448"/>
      <c r="P100" s="448"/>
      <c r="Q100" s="448"/>
      <c r="R100" s="449"/>
      <c r="U100" s="510"/>
      <c r="V100" s="610"/>
      <c r="W100" s="611"/>
      <c r="X100" s="611"/>
      <c r="Y100" s="611"/>
      <c r="Z100" s="611"/>
      <c r="AA100" s="612"/>
      <c r="AB100" s="444"/>
      <c r="AC100" s="445"/>
      <c r="AD100" s="595"/>
      <c r="AE100" s="595"/>
      <c r="AF100" s="596"/>
      <c r="AG100" s="610"/>
      <c r="AH100" s="611"/>
      <c r="AI100" s="611"/>
      <c r="AJ100" s="611"/>
      <c r="AK100" s="612"/>
      <c r="AL100" s="613"/>
      <c r="AM100" s="614"/>
      <c r="AN100" s="615"/>
      <c r="AO100" s="615"/>
      <c r="AP100" s="619"/>
      <c r="AQ100" s="281"/>
      <c r="AR100" s="281"/>
      <c r="AS100" s="281"/>
      <c r="AT100" s="281"/>
    </row>
    <row r="101" spans="1:46" ht="3.95" customHeight="1">
      <c r="A101" s="532"/>
      <c r="B101" s="458"/>
      <c r="C101" s="458"/>
      <c r="D101" s="458"/>
      <c r="E101" s="458"/>
      <c r="F101" s="508"/>
      <c r="G101" s="444"/>
      <c r="H101" s="445"/>
      <c r="I101" s="445"/>
      <c r="J101" s="446"/>
      <c r="U101" s="510"/>
      <c r="V101" s="297"/>
      <c r="W101" s="298"/>
      <c r="X101" s="298"/>
      <c r="Y101" s="298"/>
      <c r="Z101" s="298"/>
      <c r="AA101" s="298"/>
      <c r="AB101" s="282"/>
      <c r="AC101" s="282"/>
      <c r="AD101" s="282"/>
      <c r="AE101" s="282"/>
      <c r="AF101" s="282"/>
      <c r="AG101" s="299"/>
      <c r="AH101" s="299"/>
      <c r="AI101" s="299"/>
      <c r="AJ101" s="299"/>
      <c r="AK101" s="299"/>
      <c r="AL101" s="282"/>
      <c r="AM101" s="282"/>
      <c r="AN101" s="282"/>
      <c r="AO101" s="282"/>
      <c r="AP101" s="300"/>
      <c r="AQ101" s="281"/>
      <c r="AR101" s="281"/>
      <c r="AS101" s="281"/>
      <c r="AT101" s="281"/>
    </row>
    <row r="102" spans="1:46" ht="3.95" customHeight="1">
      <c r="A102" s="532"/>
      <c r="J102" s="284"/>
      <c r="L102" s="509" t="s">
        <v>695</v>
      </c>
      <c r="M102" s="441"/>
      <c r="N102" s="442"/>
      <c r="O102" s="442"/>
      <c r="P102" s="442"/>
      <c r="Q102" s="442"/>
      <c r="R102" s="443"/>
      <c r="U102" s="510"/>
      <c r="V102" s="620" t="s">
        <v>694</v>
      </c>
      <c r="W102" s="621"/>
      <c r="X102" s="621"/>
      <c r="Y102" s="621"/>
      <c r="Z102" s="621"/>
      <c r="AA102" s="622"/>
      <c r="AB102" s="613">
        <v>0</v>
      </c>
      <c r="AC102" s="614"/>
      <c r="AD102" s="615">
        <f>VLOOKUP(AB102,Base!G3:H9,2)</f>
        <v>-0.1</v>
      </c>
      <c r="AE102" s="615"/>
      <c r="AF102" s="615"/>
      <c r="AG102" s="620" t="s">
        <v>693</v>
      </c>
      <c r="AH102" s="621"/>
      <c r="AI102" s="621"/>
      <c r="AJ102" s="621"/>
      <c r="AK102" s="622"/>
      <c r="AL102" s="613">
        <v>0</v>
      </c>
      <c r="AM102" s="614"/>
      <c r="AN102" s="615">
        <f>VLOOKUP(AL102,Base!G3:H9,2)</f>
        <v>-0.1</v>
      </c>
      <c r="AO102" s="615"/>
      <c r="AP102" s="619"/>
      <c r="AQ102" s="281"/>
      <c r="AR102" s="281"/>
      <c r="AS102" s="281"/>
      <c r="AT102" s="281"/>
    </row>
    <row r="103" spans="1:46" ht="3.95" customHeight="1">
      <c r="A103" s="532"/>
      <c r="B103" s="456" t="s">
        <v>692</v>
      </c>
      <c r="C103" s="456"/>
      <c r="D103" s="456"/>
      <c r="E103" s="456"/>
      <c r="F103" s="507"/>
      <c r="G103" s="444">
        <f>V38*100</f>
        <v>10</v>
      </c>
      <c r="H103" s="445"/>
      <c r="I103" s="445"/>
      <c r="J103" s="446"/>
      <c r="L103" s="510"/>
      <c r="M103" s="444"/>
      <c r="N103" s="445"/>
      <c r="O103" s="445"/>
      <c r="P103" s="445"/>
      <c r="Q103" s="445"/>
      <c r="R103" s="446"/>
      <c r="U103" s="510"/>
      <c r="V103" s="623"/>
      <c r="W103" s="624"/>
      <c r="X103" s="624"/>
      <c r="Y103" s="624"/>
      <c r="Z103" s="624"/>
      <c r="AA103" s="625"/>
      <c r="AB103" s="613"/>
      <c r="AC103" s="614"/>
      <c r="AD103" s="615"/>
      <c r="AE103" s="615"/>
      <c r="AF103" s="615"/>
      <c r="AG103" s="623"/>
      <c r="AH103" s="624"/>
      <c r="AI103" s="624"/>
      <c r="AJ103" s="624"/>
      <c r="AK103" s="625"/>
      <c r="AL103" s="613"/>
      <c r="AM103" s="614"/>
      <c r="AN103" s="615"/>
      <c r="AO103" s="615"/>
      <c r="AP103" s="619"/>
      <c r="AQ103" s="281"/>
      <c r="AR103" s="281"/>
      <c r="AS103" s="281"/>
      <c r="AT103" s="281"/>
    </row>
    <row r="104" spans="1:46" ht="3.95" customHeight="1">
      <c r="A104" s="532"/>
      <c r="B104" s="458"/>
      <c r="C104" s="458"/>
      <c r="D104" s="458"/>
      <c r="E104" s="458"/>
      <c r="F104" s="508"/>
      <c r="G104" s="444"/>
      <c r="H104" s="445"/>
      <c r="I104" s="445"/>
      <c r="J104" s="446"/>
      <c r="L104" s="510"/>
      <c r="M104" s="444"/>
      <c r="N104" s="445"/>
      <c r="O104" s="445"/>
      <c r="P104" s="445"/>
      <c r="Q104" s="445"/>
      <c r="R104" s="446"/>
      <c r="U104" s="510"/>
      <c r="V104" s="297"/>
      <c r="W104" s="298"/>
      <c r="X104" s="298"/>
      <c r="Y104" s="298"/>
      <c r="Z104" s="298"/>
      <c r="AA104" s="298"/>
      <c r="AG104" s="298"/>
      <c r="AH104" s="298"/>
      <c r="AI104" s="298"/>
      <c r="AJ104" s="298"/>
      <c r="AK104" s="298"/>
      <c r="AL104" s="291"/>
      <c r="AM104" s="291"/>
      <c r="AN104" s="291"/>
      <c r="AO104" s="291"/>
      <c r="AP104" s="292"/>
      <c r="AQ104" s="281"/>
      <c r="AR104" s="281"/>
      <c r="AS104" s="281"/>
      <c r="AT104" s="281"/>
    </row>
    <row r="105" spans="1:46" ht="3.95" customHeight="1">
      <c r="A105" s="532"/>
      <c r="B105" s="301"/>
      <c r="C105" s="301"/>
      <c r="D105" s="301"/>
      <c r="E105" s="301"/>
      <c r="F105" s="301"/>
      <c r="G105" s="302"/>
      <c r="H105" s="302"/>
      <c r="I105" s="302"/>
      <c r="J105" s="303"/>
      <c r="K105" s="282"/>
      <c r="L105" s="510"/>
      <c r="M105" s="304"/>
      <c r="N105" s="305"/>
      <c r="O105" s="305"/>
      <c r="P105" s="305"/>
      <c r="Q105" s="305"/>
      <c r="R105" s="306"/>
      <c r="U105" s="510"/>
      <c r="V105" s="607" t="s">
        <v>691</v>
      </c>
      <c r="W105" s="608"/>
      <c r="X105" s="608"/>
      <c r="Y105" s="608"/>
      <c r="Z105" s="608"/>
      <c r="AA105" s="609"/>
      <c r="AB105" s="613">
        <v>0</v>
      </c>
      <c r="AC105" s="614"/>
      <c r="AD105" s="615">
        <f>VLOOKUP(AB105,Base!G3:H9,2)</f>
        <v>-0.1</v>
      </c>
      <c r="AE105" s="615"/>
      <c r="AF105" s="615"/>
      <c r="AG105" s="607" t="s">
        <v>690</v>
      </c>
      <c r="AH105" s="608"/>
      <c r="AI105" s="608"/>
      <c r="AJ105" s="608"/>
      <c r="AK105" s="609"/>
      <c r="AL105" s="613">
        <v>1</v>
      </c>
      <c r="AM105" s="614"/>
      <c r="AN105" s="615">
        <f>VLOOKUP(AL105,Base!G3:H9,2)</f>
        <v>0</v>
      </c>
      <c r="AO105" s="615"/>
      <c r="AP105" s="619"/>
      <c r="AQ105" s="281"/>
      <c r="AR105" s="281"/>
      <c r="AS105" s="281"/>
      <c r="AT105" s="281"/>
    </row>
    <row r="106" spans="1:46" ht="3.95" customHeight="1">
      <c r="A106" s="532"/>
      <c r="B106" s="539" t="s">
        <v>689</v>
      </c>
      <c r="C106" s="539"/>
      <c r="D106" s="539"/>
      <c r="E106" s="539"/>
      <c r="F106" s="539"/>
      <c r="G106" s="539"/>
      <c r="H106" s="539"/>
      <c r="I106" s="539"/>
      <c r="J106" s="540"/>
      <c r="K106" s="282"/>
      <c r="L106" s="510"/>
      <c r="M106" s="444"/>
      <c r="N106" s="445"/>
      <c r="O106" s="445"/>
      <c r="P106" s="445"/>
      <c r="Q106" s="445"/>
      <c r="R106" s="446"/>
      <c r="U106" s="510"/>
      <c r="V106" s="610"/>
      <c r="W106" s="611"/>
      <c r="X106" s="611"/>
      <c r="Y106" s="611"/>
      <c r="Z106" s="611"/>
      <c r="AA106" s="612"/>
      <c r="AB106" s="613"/>
      <c r="AC106" s="614"/>
      <c r="AD106" s="615"/>
      <c r="AE106" s="615"/>
      <c r="AF106" s="615"/>
      <c r="AG106" s="610"/>
      <c r="AH106" s="611"/>
      <c r="AI106" s="611"/>
      <c r="AJ106" s="611"/>
      <c r="AK106" s="612"/>
      <c r="AL106" s="613"/>
      <c r="AM106" s="614"/>
      <c r="AN106" s="615"/>
      <c r="AO106" s="615"/>
      <c r="AP106" s="619"/>
      <c r="AQ106" s="281"/>
      <c r="AR106" s="281"/>
      <c r="AS106" s="281"/>
      <c r="AT106" s="281"/>
    </row>
    <row r="107" spans="1:46" ht="3.95" customHeight="1">
      <c r="A107" s="532"/>
      <c r="B107" s="539"/>
      <c r="C107" s="539"/>
      <c r="D107" s="539"/>
      <c r="E107" s="539"/>
      <c r="F107" s="539"/>
      <c r="G107" s="539"/>
      <c r="H107" s="539"/>
      <c r="I107" s="539"/>
      <c r="J107" s="540"/>
      <c r="K107" s="282"/>
      <c r="L107" s="510"/>
      <c r="M107" s="444"/>
      <c r="N107" s="445"/>
      <c r="O107" s="445"/>
      <c r="P107" s="445"/>
      <c r="Q107" s="445"/>
      <c r="R107" s="446"/>
      <c r="U107" s="510"/>
      <c r="V107" s="297"/>
      <c r="W107" s="298"/>
      <c r="X107" s="298"/>
      <c r="Y107" s="298"/>
      <c r="Z107" s="298"/>
      <c r="AA107" s="298"/>
      <c r="AG107" s="298"/>
      <c r="AH107" s="298"/>
      <c r="AI107" s="298"/>
      <c r="AJ107" s="298"/>
      <c r="AK107" s="298"/>
      <c r="AP107" s="284"/>
      <c r="AQ107" s="281"/>
      <c r="AR107" s="281"/>
      <c r="AS107" s="281"/>
      <c r="AT107" s="281"/>
    </row>
    <row r="108" spans="1:46" ht="3.95" customHeight="1">
      <c r="A108" s="532"/>
      <c r="B108" s="295"/>
      <c r="C108" s="283"/>
      <c r="F108" s="284"/>
      <c r="G108" s="307"/>
      <c r="H108" s="289"/>
      <c r="I108" s="289"/>
      <c r="J108" s="295"/>
      <c r="L108" s="510"/>
      <c r="M108" s="444"/>
      <c r="N108" s="445"/>
      <c r="O108" s="445"/>
      <c r="P108" s="445"/>
      <c r="Q108" s="445"/>
      <c r="R108" s="446"/>
      <c r="U108" s="510"/>
      <c r="V108" s="607" t="s">
        <v>688</v>
      </c>
      <c r="W108" s="608"/>
      <c r="X108" s="608"/>
      <c r="Y108" s="608"/>
      <c r="Z108" s="608"/>
      <c r="AA108" s="609"/>
      <c r="AB108" s="613">
        <v>0</v>
      </c>
      <c r="AC108" s="614"/>
      <c r="AD108" s="615">
        <f>VLOOKUP(AB108,Base!G3:H9,2)</f>
        <v>-0.1</v>
      </c>
      <c r="AE108" s="615"/>
      <c r="AF108" s="615"/>
      <c r="AG108" s="607" t="s">
        <v>687</v>
      </c>
      <c r="AH108" s="608"/>
      <c r="AI108" s="608"/>
      <c r="AJ108" s="608"/>
      <c r="AK108" s="609"/>
      <c r="AL108" s="613">
        <v>1</v>
      </c>
      <c r="AM108" s="614"/>
      <c r="AN108" s="615">
        <f>VLOOKUP(AL108,Base!G3:H9,2)</f>
        <v>0</v>
      </c>
      <c r="AO108" s="615"/>
      <c r="AP108" s="619"/>
      <c r="AQ108" s="281"/>
      <c r="AR108" s="281"/>
      <c r="AS108" s="281"/>
      <c r="AT108" s="281"/>
    </row>
    <row r="109" spans="1:46" ht="3.95" customHeight="1">
      <c r="A109" s="532"/>
      <c r="C109" s="547" t="s">
        <v>686</v>
      </c>
      <c r="D109" s="548"/>
      <c r="E109" s="548"/>
      <c r="F109" s="549"/>
      <c r="G109" s="552">
        <f>(3+S35/2)</f>
        <v>3</v>
      </c>
      <c r="H109" s="553"/>
      <c r="I109" s="553"/>
      <c r="J109" s="616"/>
      <c r="L109" s="510"/>
      <c r="M109" s="308"/>
      <c r="N109" s="309"/>
      <c r="O109" s="309"/>
      <c r="P109" s="309"/>
      <c r="Q109" s="309"/>
      <c r="R109" s="310"/>
      <c r="U109" s="510"/>
      <c r="V109" s="610"/>
      <c r="W109" s="611"/>
      <c r="X109" s="611"/>
      <c r="Y109" s="611"/>
      <c r="Z109" s="611"/>
      <c r="AA109" s="612"/>
      <c r="AB109" s="613"/>
      <c r="AC109" s="614"/>
      <c r="AD109" s="615"/>
      <c r="AE109" s="615"/>
      <c r="AF109" s="615"/>
      <c r="AG109" s="610"/>
      <c r="AH109" s="611"/>
      <c r="AI109" s="611"/>
      <c r="AJ109" s="611"/>
      <c r="AK109" s="612"/>
      <c r="AL109" s="613"/>
      <c r="AM109" s="614"/>
      <c r="AN109" s="615"/>
      <c r="AO109" s="615"/>
      <c r="AP109" s="619"/>
      <c r="AQ109" s="281"/>
      <c r="AR109" s="281"/>
      <c r="AS109" s="281"/>
      <c r="AT109" s="281"/>
    </row>
    <row r="110" spans="1:46" ht="3.95" customHeight="1">
      <c r="A110" s="532"/>
      <c r="C110" s="547"/>
      <c r="D110" s="548"/>
      <c r="E110" s="548"/>
      <c r="F110" s="549"/>
      <c r="G110" s="552"/>
      <c r="H110" s="553"/>
      <c r="I110" s="553"/>
      <c r="J110" s="616"/>
      <c r="L110" s="510"/>
      <c r="M110" s="444"/>
      <c r="N110" s="445"/>
      <c r="O110" s="445"/>
      <c r="P110" s="445"/>
      <c r="Q110" s="445"/>
      <c r="R110" s="446"/>
      <c r="U110" s="510"/>
      <c r="V110" s="297"/>
      <c r="W110" s="299"/>
      <c r="X110" s="298"/>
      <c r="Y110" s="298"/>
      <c r="Z110" s="298"/>
      <c r="AA110" s="298"/>
      <c r="AE110" s="280"/>
      <c r="AF110" s="280"/>
      <c r="AG110" s="311"/>
      <c r="AH110" s="311"/>
      <c r="AI110" s="311"/>
      <c r="AJ110" s="311"/>
      <c r="AK110" s="311"/>
      <c r="AL110" s="280"/>
      <c r="AM110" s="280"/>
      <c r="AN110" s="280"/>
      <c r="AO110" s="280"/>
      <c r="AP110" s="293"/>
      <c r="AQ110" s="281"/>
      <c r="AR110" s="281"/>
      <c r="AS110" s="281"/>
      <c r="AT110" s="281"/>
    </row>
    <row r="111" spans="1:46" ht="3.95" customHeight="1">
      <c r="A111" s="532"/>
      <c r="C111" s="283"/>
      <c r="F111" s="284"/>
      <c r="J111" s="284"/>
      <c r="L111" s="510"/>
      <c r="M111" s="444"/>
      <c r="N111" s="445"/>
      <c r="O111" s="445"/>
      <c r="P111" s="445"/>
      <c r="Q111" s="445"/>
      <c r="R111" s="446"/>
      <c r="U111" s="510"/>
      <c r="V111" s="620" t="s">
        <v>685</v>
      </c>
      <c r="W111" s="621"/>
      <c r="X111" s="621"/>
      <c r="Y111" s="621"/>
      <c r="Z111" s="621"/>
      <c r="AA111" s="622"/>
      <c r="AB111" s="613">
        <v>1</v>
      </c>
      <c r="AC111" s="614"/>
      <c r="AD111" s="615">
        <f>VLOOKUP(AB111,Base!G3:H9,2)</f>
        <v>0</v>
      </c>
      <c r="AE111" s="615"/>
      <c r="AF111" s="615"/>
      <c r="AG111" s="620" t="s">
        <v>684</v>
      </c>
      <c r="AH111" s="621"/>
      <c r="AI111" s="621"/>
      <c r="AJ111" s="621"/>
      <c r="AK111" s="622"/>
      <c r="AL111" s="613">
        <v>0</v>
      </c>
      <c r="AM111" s="614"/>
      <c r="AN111" s="615">
        <f>VLOOKUP(AL111,Base!G3:H9,2)</f>
        <v>-0.1</v>
      </c>
      <c r="AO111" s="615"/>
      <c r="AP111" s="619"/>
      <c r="AQ111" s="281"/>
      <c r="AR111" s="281"/>
      <c r="AS111" s="281"/>
      <c r="AT111" s="281"/>
    </row>
    <row r="112" spans="1:46" ht="3.95" customHeight="1">
      <c r="A112" s="532"/>
      <c r="C112" s="547" t="s">
        <v>683</v>
      </c>
      <c r="D112" s="548"/>
      <c r="E112" s="548"/>
      <c r="F112" s="549"/>
      <c r="G112" s="444">
        <f>10+AD35</f>
        <v>10</v>
      </c>
      <c r="H112" s="445"/>
      <c r="I112" s="445"/>
      <c r="J112" s="446"/>
      <c r="L112" s="510"/>
      <c r="M112" s="444"/>
      <c r="N112" s="445"/>
      <c r="O112" s="445"/>
      <c r="P112" s="445"/>
      <c r="Q112" s="445"/>
      <c r="R112" s="446"/>
      <c r="U112" s="510"/>
      <c r="V112" s="623"/>
      <c r="W112" s="624"/>
      <c r="X112" s="624"/>
      <c r="Y112" s="624"/>
      <c r="Z112" s="624"/>
      <c r="AA112" s="625"/>
      <c r="AB112" s="613"/>
      <c r="AC112" s="614"/>
      <c r="AD112" s="615"/>
      <c r="AE112" s="615"/>
      <c r="AF112" s="615"/>
      <c r="AG112" s="623"/>
      <c r="AH112" s="624"/>
      <c r="AI112" s="624"/>
      <c r="AJ112" s="624"/>
      <c r="AK112" s="625"/>
      <c r="AL112" s="613"/>
      <c r="AM112" s="614"/>
      <c r="AN112" s="615"/>
      <c r="AO112" s="615"/>
      <c r="AP112" s="619"/>
      <c r="AQ112" s="281"/>
      <c r="AR112" s="281"/>
      <c r="AS112" s="281"/>
      <c r="AT112" s="281"/>
    </row>
    <row r="113" spans="1:46" ht="3.95" customHeight="1">
      <c r="A113" s="532"/>
      <c r="C113" s="465"/>
      <c r="D113" s="458"/>
      <c r="E113" s="458"/>
      <c r="F113" s="508"/>
      <c r="G113" s="444"/>
      <c r="H113" s="445"/>
      <c r="I113" s="445"/>
      <c r="J113" s="446"/>
      <c r="L113" s="510"/>
      <c r="M113" s="283"/>
      <c r="R113" s="284"/>
      <c r="U113" s="510"/>
      <c r="V113" s="312"/>
      <c r="W113" s="299"/>
      <c r="X113" s="298"/>
      <c r="Y113" s="298"/>
      <c r="Z113" s="298"/>
      <c r="AA113" s="298"/>
      <c r="AE113" s="280"/>
      <c r="AF113" s="280"/>
      <c r="AG113" s="311"/>
      <c r="AH113" s="311"/>
      <c r="AI113" s="311"/>
      <c r="AJ113" s="311"/>
      <c r="AK113" s="311"/>
      <c r="AL113" s="280"/>
      <c r="AM113" s="280"/>
      <c r="AN113" s="280"/>
      <c r="AO113" s="280"/>
      <c r="AP113" s="293"/>
      <c r="AQ113" s="281"/>
      <c r="AR113" s="281"/>
      <c r="AS113" s="281"/>
      <c r="AT113" s="281"/>
    </row>
    <row r="114" spans="1:46" ht="3.95" customHeight="1">
      <c r="A114" s="532"/>
      <c r="J114" s="284"/>
      <c r="L114" s="510"/>
      <c r="M114" s="444"/>
      <c r="N114" s="445"/>
      <c r="O114" s="445"/>
      <c r="P114" s="445"/>
      <c r="Q114" s="445"/>
      <c r="R114" s="446"/>
      <c r="U114" s="510"/>
      <c r="V114" s="620" t="s">
        <v>682</v>
      </c>
      <c r="W114" s="621"/>
      <c r="X114" s="621"/>
      <c r="Y114" s="621"/>
      <c r="Z114" s="621"/>
      <c r="AA114" s="622"/>
      <c r="AB114" s="613">
        <v>0</v>
      </c>
      <c r="AC114" s="614"/>
      <c r="AD114" s="615">
        <f>VLOOKUP(AB114,Base!G3:H9,2)</f>
        <v>-0.1</v>
      </c>
      <c r="AE114" s="615"/>
      <c r="AF114" s="615"/>
      <c r="AG114" s="607" t="s">
        <v>681</v>
      </c>
      <c r="AH114" s="608"/>
      <c r="AI114" s="608"/>
      <c r="AJ114" s="608"/>
      <c r="AK114" s="609"/>
      <c r="AL114" s="613">
        <v>0</v>
      </c>
      <c r="AM114" s="614"/>
      <c r="AN114" s="615">
        <f>VLOOKUP(AL114,Base!G3:H9,2)</f>
        <v>-0.1</v>
      </c>
      <c r="AO114" s="615"/>
      <c r="AP114" s="619"/>
      <c r="AQ114" s="281"/>
      <c r="AR114" s="281"/>
      <c r="AS114" s="281"/>
      <c r="AT114" s="281"/>
    </row>
    <row r="115" spans="1:46" ht="3.95" customHeight="1">
      <c r="A115" s="532"/>
      <c r="B115" s="456" t="s">
        <v>680</v>
      </c>
      <c r="C115" s="456"/>
      <c r="D115" s="456"/>
      <c r="E115" s="456"/>
      <c r="F115" s="507"/>
      <c r="G115" s="444">
        <v>3</v>
      </c>
      <c r="H115" s="445"/>
      <c r="I115" s="445"/>
      <c r="J115" s="446"/>
      <c r="L115" s="510"/>
      <c r="M115" s="444"/>
      <c r="N115" s="445"/>
      <c r="O115" s="445"/>
      <c r="P115" s="445"/>
      <c r="Q115" s="445"/>
      <c r="R115" s="446"/>
      <c r="U115" s="510"/>
      <c r="V115" s="623"/>
      <c r="W115" s="624"/>
      <c r="X115" s="624"/>
      <c r="Y115" s="624"/>
      <c r="Z115" s="624"/>
      <c r="AA115" s="625"/>
      <c r="AB115" s="613"/>
      <c r="AC115" s="614"/>
      <c r="AD115" s="615"/>
      <c r="AE115" s="615"/>
      <c r="AF115" s="615"/>
      <c r="AG115" s="610"/>
      <c r="AH115" s="611"/>
      <c r="AI115" s="611"/>
      <c r="AJ115" s="611"/>
      <c r="AK115" s="612"/>
      <c r="AL115" s="613"/>
      <c r="AM115" s="614"/>
      <c r="AN115" s="615"/>
      <c r="AO115" s="615"/>
      <c r="AP115" s="619"/>
      <c r="AQ115" s="281"/>
      <c r="AR115" s="281"/>
      <c r="AS115" s="281"/>
      <c r="AT115" s="281"/>
    </row>
    <row r="116" spans="1:46" ht="3.95" customHeight="1">
      <c r="A116" s="533"/>
      <c r="B116" s="458"/>
      <c r="C116" s="458"/>
      <c r="D116" s="458"/>
      <c r="E116" s="458"/>
      <c r="F116" s="508"/>
      <c r="G116" s="447"/>
      <c r="H116" s="448"/>
      <c r="I116" s="448"/>
      <c r="J116" s="449"/>
      <c r="L116" s="510"/>
      <c r="M116" s="444"/>
      <c r="N116" s="445"/>
      <c r="O116" s="445"/>
      <c r="P116" s="445"/>
      <c r="Q116" s="445"/>
      <c r="R116" s="446"/>
      <c r="U116" s="510"/>
      <c r="V116" s="313"/>
      <c r="W116" s="311"/>
      <c r="X116" s="298"/>
      <c r="Y116" s="298"/>
      <c r="Z116" s="298"/>
      <c r="AA116" s="298"/>
      <c r="AG116" s="298"/>
      <c r="AH116" s="298"/>
      <c r="AI116" s="298"/>
      <c r="AJ116" s="298"/>
      <c r="AK116" s="298"/>
      <c r="AM116" s="291"/>
      <c r="AN116" s="291"/>
      <c r="AO116" s="291"/>
      <c r="AP116" s="292"/>
      <c r="AQ116" s="281"/>
      <c r="AR116" s="281"/>
      <c r="AS116" s="281"/>
      <c r="AT116" s="281"/>
    </row>
    <row r="117" spans="1:46" ht="3.95" customHeight="1">
      <c r="L117" s="510"/>
      <c r="M117" s="304"/>
      <c r="N117" s="305"/>
      <c r="O117" s="305"/>
      <c r="P117" s="305"/>
      <c r="Q117" s="305"/>
      <c r="R117" s="306"/>
      <c r="U117" s="510"/>
      <c r="V117" s="620" t="s">
        <v>679</v>
      </c>
      <c r="W117" s="621"/>
      <c r="X117" s="621"/>
      <c r="Y117" s="621"/>
      <c r="Z117" s="621"/>
      <c r="AA117" s="622"/>
      <c r="AB117" s="613">
        <v>0</v>
      </c>
      <c r="AC117" s="614"/>
      <c r="AD117" s="615">
        <f>VLOOKUP(AB117,Base!G3:H9,2)</f>
        <v>-0.1</v>
      </c>
      <c r="AE117" s="615"/>
      <c r="AF117" s="615"/>
      <c r="AG117" s="607" t="s">
        <v>678</v>
      </c>
      <c r="AH117" s="608"/>
      <c r="AI117" s="608"/>
      <c r="AJ117" s="608"/>
      <c r="AK117" s="609"/>
      <c r="AL117" s="613">
        <v>0</v>
      </c>
      <c r="AM117" s="614"/>
      <c r="AN117" s="615">
        <f>VLOOKUP(AL117,Base!G3:H9,2)</f>
        <v>-0.1</v>
      </c>
      <c r="AO117" s="615"/>
      <c r="AP117" s="619"/>
      <c r="AQ117" s="281"/>
      <c r="AR117" s="281"/>
      <c r="AS117" s="281"/>
      <c r="AT117" s="281"/>
    </row>
    <row r="118" spans="1:46" ht="3.95" customHeight="1">
      <c r="A118" s="531" t="s">
        <v>677</v>
      </c>
      <c r="B118" s="464" t="s">
        <v>142</v>
      </c>
      <c r="C118" s="456"/>
      <c r="D118" s="456"/>
      <c r="E118" s="507"/>
      <c r="F118" s="464" t="s">
        <v>676</v>
      </c>
      <c r="G118" s="456"/>
      <c r="H118" s="507"/>
      <c r="I118" s="464" t="s">
        <v>675</v>
      </c>
      <c r="J118" s="507"/>
      <c r="L118" s="510"/>
      <c r="M118" s="444"/>
      <c r="N118" s="445"/>
      <c r="O118" s="445"/>
      <c r="P118" s="445"/>
      <c r="Q118" s="445"/>
      <c r="R118" s="446"/>
      <c r="U118" s="510"/>
      <c r="V118" s="623"/>
      <c r="W118" s="624"/>
      <c r="X118" s="624"/>
      <c r="Y118" s="624"/>
      <c r="Z118" s="624"/>
      <c r="AA118" s="625"/>
      <c r="AB118" s="613"/>
      <c r="AC118" s="614"/>
      <c r="AD118" s="615"/>
      <c r="AE118" s="615"/>
      <c r="AF118" s="615"/>
      <c r="AG118" s="610"/>
      <c r="AH118" s="611"/>
      <c r="AI118" s="611"/>
      <c r="AJ118" s="611"/>
      <c r="AK118" s="612"/>
      <c r="AL118" s="613"/>
      <c r="AM118" s="614"/>
      <c r="AN118" s="615"/>
      <c r="AO118" s="615"/>
      <c r="AP118" s="619"/>
      <c r="AQ118" s="281"/>
      <c r="AR118" s="281"/>
      <c r="AS118" s="281"/>
      <c r="AT118" s="281"/>
    </row>
    <row r="119" spans="1:46" ht="3.95" customHeight="1">
      <c r="A119" s="532"/>
      <c r="B119" s="465"/>
      <c r="C119" s="458"/>
      <c r="D119" s="458"/>
      <c r="E119" s="508"/>
      <c r="F119" s="465"/>
      <c r="G119" s="458"/>
      <c r="H119" s="508"/>
      <c r="I119" s="465"/>
      <c r="J119" s="508"/>
      <c r="L119" s="510"/>
      <c r="M119" s="444"/>
      <c r="N119" s="445"/>
      <c r="O119" s="445"/>
      <c r="P119" s="445"/>
      <c r="Q119" s="445"/>
      <c r="R119" s="446"/>
      <c r="U119" s="510"/>
      <c r="V119" s="297"/>
      <c r="W119" s="298"/>
      <c r="X119" s="298"/>
      <c r="Y119" s="298"/>
      <c r="Z119" s="298"/>
      <c r="AA119" s="298"/>
      <c r="AG119" s="298"/>
      <c r="AH119" s="298"/>
      <c r="AI119" s="298"/>
      <c r="AJ119" s="298"/>
      <c r="AK119" s="298"/>
      <c r="AM119" s="291"/>
      <c r="AN119" s="291"/>
      <c r="AO119" s="291"/>
      <c r="AP119" s="292"/>
      <c r="AQ119" s="281"/>
      <c r="AR119" s="281"/>
      <c r="AS119" s="281"/>
      <c r="AT119" s="281"/>
    </row>
    <row r="120" spans="1:46" ht="3.95" customHeight="1">
      <c r="A120" s="532"/>
      <c r="B120" s="307"/>
      <c r="C120" s="289"/>
      <c r="D120" s="289"/>
      <c r="E120" s="289"/>
      <c r="F120" s="289"/>
      <c r="G120" s="289"/>
      <c r="H120" s="289"/>
      <c r="I120" s="289"/>
      <c r="J120" s="295"/>
      <c r="L120" s="510"/>
      <c r="M120" s="444"/>
      <c r="N120" s="445"/>
      <c r="O120" s="445"/>
      <c r="P120" s="445"/>
      <c r="Q120" s="445"/>
      <c r="R120" s="446"/>
      <c r="U120" s="510"/>
      <c r="V120" s="607" t="s">
        <v>136</v>
      </c>
      <c r="W120" s="608"/>
      <c r="X120" s="608"/>
      <c r="Y120" s="608"/>
      <c r="Z120" s="608"/>
      <c r="AA120" s="609"/>
      <c r="AB120" s="613">
        <v>0</v>
      </c>
      <c r="AC120" s="614"/>
      <c r="AD120" s="615">
        <f>VLOOKUP(AB120,Base!G3:H9,2)</f>
        <v>-0.1</v>
      </c>
      <c r="AE120" s="615"/>
      <c r="AF120" s="615"/>
      <c r="AG120" s="607" t="s">
        <v>674</v>
      </c>
      <c r="AH120" s="608"/>
      <c r="AI120" s="608"/>
      <c r="AJ120" s="608"/>
      <c r="AK120" s="609"/>
      <c r="AL120" s="613">
        <v>0</v>
      </c>
      <c r="AM120" s="614"/>
      <c r="AN120" s="615">
        <f>VLOOKUP(AL120,Base!G3:H9,2)</f>
        <v>-0.1</v>
      </c>
      <c r="AO120" s="615"/>
      <c r="AP120" s="619"/>
      <c r="AQ120" s="281"/>
      <c r="AR120" s="281"/>
      <c r="AS120" s="281"/>
      <c r="AT120" s="281"/>
    </row>
    <row r="121" spans="1:46" ht="3.95" customHeight="1">
      <c r="A121" s="532"/>
      <c r="B121" s="547" t="s">
        <v>624</v>
      </c>
      <c r="C121" s="629" t="s">
        <v>673</v>
      </c>
      <c r="D121" s="629"/>
      <c r="E121" s="630"/>
      <c r="F121" s="492" t="s">
        <v>622</v>
      </c>
      <c r="G121" s="493"/>
      <c r="H121" s="494">
        <f>FM+3</f>
        <v>3</v>
      </c>
      <c r="I121" s="444">
        <v>3</v>
      </c>
      <c r="J121" s="446"/>
      <c r="L121" s="510"/>
      <c r="M121" s="283"/>
      <c r="R121" s="284"/>
      <c r="U121" s="510"/>
      <c r="V121" s="610"/>
      <c r="W121" s="611"/>
      <c r="X121" s="611"/>
      <c r="Y121" s="611"/>
      <c r="Z121" s="611"/>
      <c r="AA121" s="612"/>
      <c r="AB121" s="613"/>
      <c r="AC121" s="614"/>
      <c r="AD121" s="615"/>
      <c r="AE121" s="615"/>
      <c r="AF121" s="615"/>
      <c r="AG121" s="610"/>
      <c r="AH121" s="611"/>
      <c r="AI121" s="611"/>
      <c r="AJ121" s="611"/>
      <c r="AK121" s="612"/>
      <c r="AL121" s="613"/>
      <c r="AM121" s="614"/>
      <c r="AN121" s="615"/>
      <c r="AO121" s="615"/>
      <c r="AP121" s="619"/>
      <c r="AQ121" s="281"/>
      <c r="AR121" s="281"/>
      <c r="AS121" s="281"/>
      <c r="AT121" s="281"/>
    </row>
    <row r="122" spans="1:46" ht="3.95" customHeight="1">
      <c r="A122" s="532"/>
      <c r="B122" s="547"/>
      <c r="C122" s="629"/>
      <c r="D122" s="629"/>
      <c r="E122" s="630"/>
      <c r="F122" s="492"/>
      <c r="G122" s="493"/>
      <c r="H122" s="494"/>
      <c r="I122" s="444"/>
      <c r="J122" s="446"/>
      <c r="L122" s="510"/>
      <c r="M122" s="444"/>
      <c r="N122" s="445"/>
      <c r="O122" s="445"/>
      <c r="P122" s="445"/>
      <c r="Q122" s="445"/>
      <c r="R122" s="446"/>
      <c r="U122" s="510"/>
      <c r="V122" s="297"/>
      <c r="W122" s="298"/>
      <c r="X122" s="298"/>
      <c r="Y122" s="298"/>
      <c r="Z122" s="298"/>
      <c r="AA122" s="298"/>
      <c r="AG122" s="298"/>
      <c r="AH122" s="298"/>
      <c r="AI122" s="298"/>
      <c r="AJ122" s="298"/>
      <c r="AK122" s="298"/>
      <c r="AM122" s="291"/>
      <c r="AN122" s="291"/>
      <c r="AO122" s="291"/>
      <c r="AP122" s="292"/>
      <c r="AQ122" s="281"/>
      <c r="AR122" s="281"/>
      <c r="AS122" s="281"/>
      <c r="AT122" s="281"/>
    </row>
    <row r="123" spans="1:46" ht="3.95" customHeight="1">
      <c r="A123" s="532"/>
      <c r="B123" s="283"/>
      <c r="C123" s="298"/>
      <c r="D123" s="298"/>
      <c r="E123" s="298"/>
      <c r="J123" s="284"/>
      <c r="L123" s="510"/>
      <c r="M123" s="444"/>
      <c r="N123" s="445"/>
      <c r="O123" s="445"/>
      <c r="P123" s="445"/>
      <c r="Q123" s="445"/>
      <c r="R123" s="446"/>
      <c r="U123" s="510"/>
      <c r="V123" s="607" t="s">
        <v>158</v>
      </c>
      <c r="W123" s="608"/>
      <c r="X123" s="608"/>
      <c r="Y123" s="608"/>
      <c r="Z123" s="608"/>
      <c r="AA123" s="609"/>
      <c r="AB123" s="613">
        <v>0</v>
      </c>
      <c r="AC123" s="614"/>
      <c r="AD123" s="615">
        <f>VLOOKUP(AB123,Base!G3:H9,2)</f>
        <v>-0.1</v>
      </c>
      <c r="AE123" s="615"/>
      <c r="AF123" s="615"/>
      <c r="AG123" s="607" t="s">
        <v>672</v>
      </c>
      <c r="AH123" s="608"/>
      <c r="AI123" s="608"/>
      <c r="AJ123" s="608"/>
      <c r="AK123" s="609"/>
      <c r="AL123" s="613">
        <v>0</v>
      </c>
      <c r="AM123" s="614"/>
      <c r="AN123" s="615">
        <f>VLOOKUP(AL123,Base!G3:H9,2)</f>
        <v>-0.1</v>
      </c>
      <c r="AO123" s="615"/>
      <c r="AP123" s="619"/>
      <c r="AQ123" s="281"/>
      <c r="AR123" s="281"/>
      <c r="AS123" s="281"/>
      <c r="AT123" s="281"/>
    </row>
    <row r="124" spans="1:46" ht="3.95" customHeight="1">
      <c r="A124" s="532"/>
      <c r="B124" s="547" t="s">
        <v>624</v>
      </c>
      <c r="C124" s="629" t="s">
        <v>671</v>
      </c>
      <c r="D124" s="629"/>
      <c r="E124" s="630"/>
      <c r="F124" s="492" t="s">
        <v>622</v>
      </c>
      <c r="G124" s="493"/>
      <c r="H124" s="494">
        <f>FM+4</f>
        <v>4</v>
      </c>
      <c r="I124" s="444">
        <v>3</v>
      </c>
      <c r="J124" s="446"/>
      <c r="L124" s="510"/>
      <c r="M124" s="444"/>
      <c r="N124" s="445"/>
      <c r="O124" s="445"/>
      <c r="P124" s="445"/>
      <c r="Q124" s="445"/>
      <c r="R124" s="446"/>
      <c r="U124" s="510"/>
      <c r="V124" s="610"/>
      <c r="W124" s="611"/>
      <c r="X124" s="611"/>
      <c r="Y124" s="611"/>
      <c r="Z124" s="611"/>
      <c r="AA124" s="612"/>
      <c r="AB124" s="613"/>
      <c r="AC124" s="614"/>
      <c r="AD124" s="615"/>
      <c r="AE124" s="615"/>
      <c r="AF124" s="615"/>
      <c r="AG124" s="610"/>
      <c r="AH124" s="611"/>
      <c r="AI124" s="611"/>
      <c r="AJ124" s="611"/>
      <c r="AK124" s="612"/>
      <c r="AL124" s="613"/>
      <c r="AM124" s="614"/>
      <c r="AN124" s="615"/>
      <c r="AO124" s="615"/>
      <c r="AP124" s="619"/>
      <c r="AQ124" s="281"/>
      <c r="AR124" s="281"/>
      <c r="AS124" s="281"/>
      <c r="AT124" s="281"/>
    </row>
    <row r="125" spans="1:46" ht="3.95" customHeight="1">
      <c r="A125" s="532"/>
      <c r="B125" s="547"/>
      <c r="C125" s="629"/>
      <c r="D125" s="629"/>
      <c r="E125" s="630"/>
      <c r="F125" s="492"/>
      <c r="G125" s="493"/>
      <c r="H125" s="494"/>
      <c r="I125" s="444"/>
      <c r="J125" s="446"/>
      <c r="L125" s="510"/>
      <c r="M125" s="283"/>
      <c r="R125" s="284"/>
      <c r="U125" s="510"/>
      <c r="V125" s="297"/>
      <c r="W125" s="298"/>
      <c r="X125" s="298"/>
      <c r="Y125" s="298"/>
      <c r="Z125" s="298"/>
      <c r="AA125" s="298"/>
      <c r="AG125" s="298"/>
      <c r="AH125" s="298"/>
      <c r="AI125" s="298"/>
      <c r="AJ125" s="298"/>
      <c r="AK125" s="298"/>
      <c r="AM125" s="291"/>
      <c r="AN125" s="291"/>
      <c r="AO125" s="291"/>
      <c r="AP125" s="292"/>
      <c r="AQ125" s="281"/>
      <c r="AR125" s="281"/>
      <c r="AS125" s="281"/>
      <c r="AT125" s="281"/>
    </row>
    <row r="126" spans="1:46" ht="3.95" customHeight="1">
      <c r="A126" s="532"/>
      <c r="B126" s="283"/>
      <c r="C126" s="298"/>
      <c r="D126" s="298"/>
      <c r="E126" s="298"/>
      <c r="J126" s="284"/>
      <c r="L126" s="510"/>
      <c r="M126" s="444"/>
      <c r="N126" s="445"/>
      <c r="O126" s="445"/>
      <c r="P126" s="445"/>
      <c r="Q126" s="445"/>
      <c r="R126" s="446"/>
      <c r="U126" s="510"/>
      <c r="V126" s="607" t="s">
        <v>670</v>
      </c>
      <c r="W126" s="608"/>
      <c r="X126" s="608"/>
      <c r="Y126" s="608"/>
      <c r="Z126" s="608"/>
      <c r="AA126" s="609"/>
      <c r="AB126" s="613">
        <v>0</v>
      </c>
      <c r="AC126" s="614"/>
      <c r="AD126" s="615">
        <f>VLOOKUP(AB126,Base!G3:H9,2)</f>
        <v>-0.1</v>
      </c>
      <c r="AE126" s="615"/>
      <c r="AF126" s="615"/>
      <c r="AG126" s="607" t="s">
        <v>669</v>
      </c>
      <c r="AH126" s="608"/>
      <c r="AI126" s="608"/>
      <c r="AJ126" s="608"/>
      <c r="AK126" s="609"/>
      <c r="AL126" s="613">
        <v>0</v>
      </c>
      <c r="AM126" s="614"/>
      <c r="AN126" s="615">
        <f>VLOOKUP(AL126,Base!G3:H9,2)</f>
        <v>-0.1</v>
      </c>
      <c r="AO126" s="615"/>
      <c r="AP126" s="619"/>
      <c r="AQ126" s="281"/>
      <c r="AR126" s="281"/>
      <c r="AS126" s="281"/>
      <c r="AT126" s="281"/>
    </row>
    <row r="127" spans="1:46" ht="3.95" customHeight="1">
      <c r="A127" s="532"/>
      <c r="B127" s="547" t="s">
        <v>624</v>
      </c>
      <c r="C127" s="629" t="s">
        <v>668</v>
      </c>
      <c r="D127" s="629"/>
      <c r="E127" s="630"/>
      <c r="F127" s="492" t="s">
        <v>622</v>
      </c>
      <c r="G127" s="493"/>
      <c r="H127" s="494">
        <f>FM+4</f>
        <v>4</v>
      </c>
      <c r="I127" s="444">
        <v>4</v>
      </c>
      <c r="J127" s="446"/>
      <c r="L127" s="510"/>
      <c r="M127" s="444"/>
      <c r="N127" s="445"/>
      <c r="O127" s="445"/>
      <c r="P127" s="445"/>
      <c r="Q127" s="445"/>
      <c r="R127" s="446"/>
      <c r="U127" s="510"/>
      <c r="V127" s="610"/>
      <c r="W127" s="611"/>
      <c r="X127" s="611"/>
      <c r="Y127" s="611"/>
      <c r="Z127" s="611"/>
      <c r="AA127" s="612"/>
      <c r="AB127" s="613"/>
      <c r="AC127" s="614"/>
      <c r="AD127" s="615"/>
      <c r="AE127" s="615"/>
      <c r="AF127" s="615"/>
      <c r="AG127" s="610"/>
      <c r="AH127" s="611"/>
      <c r="AI127" s="611"/>
      <c r="AJ127" s="611"/>
      <c r="AK127" s="612"/>
      <c r="AL127" s="613"/>
      <c r="AM127" s="614"/>
      <c r="AN127" s="615"/>
      <c r="AO127" s="615"/>
      <c r="AP127" s="619"/>
      <c r="AQ127" s="281"/>
      <c r="AR127" s="281"/>
      <c r="AS127" s="281"/>
      <c r="AT127" s="281"/>
    </row>
    <row r="128" spans="1:46" ht="3.95" customHeight="1">
      <c r="A128" s="532"/>
      <c r="B128" s="547"/>
      <c r="C128" s="629"/>
      <c r="D128" s="629"/>
      <c r="E128" s="630"/>
      <c r="F128" s="492"/>
      <c r="G128" s="493"/>
      <c r="H128" s="494"/>
      <c r="I128" s="444"/>
      <c r="J128" s="446"/>
      <c r="L128" s="511"/>
      <c r="M128" s="447"/>
      <c r="N128" s="448"/>
      <c r="O128" s="448"/>
      <c r="P128" s="448"/>
      <c r="Q128" s="448"/>
      <c r="R128" s="449"/>
      <c r="U128" s="510"/>
      <c r="V128" s="297"/>
      <c r="W128" s="298"/>
      <c r="X128" s="298"/>
      <c r="Y128" s="298"/>
      <c r="Z128" s="298"/>
      <c r="AA128" s="298"/>
      <c r="AG128" s="298"/>
      <c r="AH128" s="298"/>
      <c r="AI128" s="298"/>
      <c r="AJ128" s="298"/>
      <c r="AK128" s="298"/>
      <c r="AM128" s="291"/>
      <c r="AN128" s="291"/>
      <c r="AO128" s="291"/>
      <c r="AP128" s="292"/>
      <c r="AQ128" s="281"/>
      <c r="AR128" s="281"/>
      <c r="AS128" s="281"/>
      <c r="AT128" s="281"/>
    </row>
    <row r="129" spans="1:46" ht="3.95" customHeight="1">
      <c r="A129" s="532"/>
      <c r="B129" s="283"/>
      <c r="C129" s="298"/>
      <c r="D129" s="298"/>
      <c r="E129" s="298"/>
      <c r="J129" s="284"/>
      <c r="L129" s="314"/>
      <c r="U129" s="510"/>
      <c r="V129" s="607" t="s">
        <v>667</v>
      </c>
      <c r="W129" s="608"/>
      <c r="X129" s="608"/>
      <c r="Y129" s="608"/>
      <c r="Z129" s="608"/>
      <c r="AA129" s="609"/>
      <c r="AB129" s="613">
        <v>0</v>
      </c>
      <c r="AC129" s="614"/>
      <c r="AD129" s="615">
        <f>VLOOKUP(AB129,Base!G3:H9,2)</f>
        <v>-0.1</v>
      </c>
      <c r="AE129" s="615"/>
      <c r="AF129" s="615"/>
      <c r="AG129" s="607" t="s">
        <v>666</v>
      </c>
      <c r="AH129" s="608"/>
      <c r="AI129" s="608"/>
      <c r="AJ129" s="608"/>
      <c r="AK129" s="609"/>
      <c r="AL129" s="613">
        <v>0</v>
      </c>
      <c r="AM129" s="614"/>
      <c r="AN129" s="615">
        <f>VLOOKUP(AL129,Base!G3:H9,2)</f>
        <v>-0.1</v>
      </c>
      <c r="AO129" s="615"/>
      <c r="AP129" s="619"/>
      <c r="AQ129" s="281"/>
      <c r="AR129" s="281"/>
      <c r="AS129" s="281"/>
      <c r="AT129" s="281"/>
    </row>
    <row r="130" spans="1:46" ht="3.95" customHeight="1">
      <c r="A130" s="532"/>
      <c r="B130" s="547" t="s">
        <v>624</v>
      </c>
      <c r="C130" s="629" t="s">
        <v>665</v>
      </c>
      <c r="D130" s="629"/>
      <c r="E130" s="630"/>
      <c r="F130" s="492" t="s">
        <v>622</v>
      </c>
      <c r="G130" s="493"/>
      <c r="H130" s="494">
        <f>FM+5</f>
        <v>5</v>
      </c>
      <c r="I130" s="444">
        <v>4</v>
      </c>
      <c r="J130" s="446"/>
      <c r="U130" s="510"/>
      <c r="V130" s="610"/>
      <c r="W130" s="611"/>
      <c r="X130" s="611"/>
      <c r="Y130" s="611"/>
      <c r="Z130" s="611"/>
      <c r="AA130" s="612"/>
      <c r="AB130" s="613"/>
      <c r="AC130" s="614"/>
      <c r="AD130" s="615"/>
      <c r="AE130" s="615"/>
      <c r="AF130" s="615"/>
      <c r="AG130" s="610"/>
      <c r="AH130" s="611"/>
      <c r="AI130" s="611"/>
      <c r="AJ130" s="611"/>
      <c r="AK130" s="612"/>
      <c r="AL130" s="613"/>
      <c r="AM130" s="614"/>
      <c r="AN130" s="615"/>
      <c r="AO130" s="615"/>
      <c r="AP130" s="619"/>
      <c r="AQ130" s="281"/>
      <c r="AR130" s="281"/>
      <c r="AS130" s="281"/>
      <c r="AT130" s="281"/>
    </row>
    <row r="131" spans="1:46" ht="3.95" customHeight="1">
      <c r="A131" s="532"/>
      <c r="B131" s="547"/>
      <c r="C131" s="629"/>
      <c r="D131" s="629"/>
      <c r="E131" s="630"/>
      <c r="F131" s="492"/>
      <c r="G131" s="493"/>
      <c r="H131" s="494"/>
      <c r="I131" s="444"/>
      <c r="J131" s="446"/>
      <c r="L131" s="531" t="s">
        <v>664</v>
      </c>
      <c r="M131" s="289"/>
      <c r="N131" s="289"/>
      <c r="O131" s="289"/>
      <c r="P131" s="633" t="s">
        <v>663</v>
      </c>
      <c r="Q131" s="289"/>
      <c r="R131" s="633" t="s">
        <v>662</v>
      </c>
      <c r="U131" s="510"/>
      <c r="V131" s="297"/>
      <c r="W131" s="298"/>
      <c r="X131" s="298"/>
      <c r="Y131" s="298"/>
      <c r="Z131" s="298"/>
      <c r="AA131" s="298"/>
      <c r="AG131" s="298"/>
      <c r="AH131" s="298"/>
      <c r="AI131" s="298"/>
      <c r="AJ131" s="298"/>
      <c r="AK131" s="298"/>
      <c r="AM131" s="291"/>
      <c r="AN131" s="291"/>
      <c r="AO131" s="291"/>
      <c r="AP131" s="292"/>
      <c r="AQ131" s="281"/>
      <c r="AR131" s="281"/>
      <c r="AS131" s="281"/>
      <c r="AT131" s="281"/>
    </row>
    <row r="132" spans="1:46" ht="3.95" customHeight="1">
      <c r="A132" s="532"/>
      <c r="B132" s="283"/>
      <c r="C132" s="298"/>
      <c r="D132" s="298"/>
      <c r="E132" s="298"/>
      <c r="J132" s="284"/>
      <c r="L132" s="532"/>
      <c r="P132" s="634"/>
      <c r="R132" s="634"/>
      <c r="U132" s="510"/>
      <c r="V132" s="607" t="s">
        <v>661</v>
      </c>
      <c r="W132" s="608"/>
      <c r="X132" s="608"/>
      <c r="Y132" s="608"/>
      <c r="Z132" s="608"/>
      <c r="AA132" s="609"/>
      <c r="AB132" s="613">
        <v>0</v>
      </c>
      <c r="AC132" s="614"/>
      <c r="AD132" s="615">
        <f>VLOOKUP(AB132,Base!G3:H9,2)</f>
        <v>-0.1</v>
      </c>
      <c r="AE132" s="615"/>
      <c r="AF132" s="615"/>
      <c r="AG132" s="607" t="s">
        <v>660</v>
      </c>
      <c r="AH132" s="608"/>
      <c r="AI132" s="608"/>
      <c r="AJ132" s="608"/>
      <c r="AK132" s="609"/>
      <c r="AL132" s="613">
        <v>0</v>
      </c>
      <c r="AM132" s="614"/>
      <c r="AN132" s="615">
        <f>VLOOKUP(AL132,Base!G3:H9,2)</f>
        <v>-0.1</v>
      </c>
      <c r="AO132" s="615"/>
      <c r="AP132" s="619"/>
      <c r="AQ132" s="281"/>
      <c r="AR132" s="281"/>
      <c r="AS132" s="281"/>
      <c r="AT132" s="281"/>
    </row>
    <row r="133" spans="1:46" ht="3.95" customHeight="1">
      <c r="A133" s="532"/>
      <c r="B133" s="547" t="s">
        <v>624</v>
      </c>
      <c r="C133" s="629" t="s">
        <v>659</v>
      </c>
      <c r="D133" s="629"/>
      <c r="E133" s="630"/>
      <c r="F133" s="492" t="s">
        <v>622</v>
      </c>
      <c r="G133" s="493"/>
      <c r="H133" s="494">
        <f>FM+6</f>
        <v>6</v>
      </c>
      <c r="I133" s="444">
        <v>5</v>
      </c>
      <c r="J133" s="446"/>
      <c r="L133" s="532"/>
      <c r="M133" s="464" t="s">
        <v>7</v>
      </c>
      <c r="N133" s="456"/>
      <c r="O133" s="507"/>
      <c r="P133" s="441"/>
      <c r="R133" s="653"/>
      <c r="U133" s="510"/>
      <c r="V133" s="610"/>
      <c r="W133" s="611"/>
      <c r="X133" s="611"/>
      <c r="Y133" s="611"/>
      <c r="Z133" s="611"/>
      <c r="AA133" s="612"/>
      <c r="AB133" s="613"/>
      <c r="AC133" s="614"/>
      <c r="AD133" s="615"/>
      <c r="AE133" s="615"/>
      <c r="AF133" s="615"/>
      <c r="AG133" s="610"/>
      <c r="AH133" s="611"/>
      <c r="AI133" s="611"/>
      <c r="AJ133" s="611"/>
      <c r="AK133" s="612"/>
      <c r="AL133" s="613"/>
      <c r="AM133" s="614"/>
      <c r="AN133" s="615"/>
      <c r="AO133" s="615"/>
      <c r="AP133" s="619"/>
      <c r="AQ133" s="281"/>
      <c r="AR133" s="281"/>
      <c r="AS133" s="281"/>
      <c r="AT133" s="281"/>
    </row>
    <row r="134" spans="1:46" ht="3.95" customHeight="1">
      <c r="A134" s="532"/>
      <c r="B134" s="547"/>
      <c r="C134" s="629"/>
      <c r="D134" s="629"/>
      <c r="E134" s="630"/>
      <c r="F134" s="492"/>
      <c r="G134" s="493"/>
      <c r="H134" s="494"/>
      <c r="I134" s="444"/>
      <c r="J134" s="446"/>
      <c r="L134" s="532"/>
      <c r="M134" s="465"/>
      <c r="N134" s="458"/>
      <c r="O134" s="508"/>
      <c r="P134" s="444"/>
      <c r="R134" s="635"/>
      <c r="U134" s="510"/>
      <c r="V134" s="312"/>
      <c r="W134" s="299"/>
      <c r="X134" s="299"/>
      <c r="Y134" s="299"/>
      <c r="Z134" s="299"/>
      <c r="AA134" s="298"/>
      <c r="AG134" s="298"/>
      <c r="AH134" s="298"/>
      <c r="AI134" s="298"/>
      <c r="AJ134" s="298"/>
      <c r="AK134" s="298"/>
      <c r="AM134" s="285"/>
      <c r="AN134" s="285"/>
      <c r="AO134" s="285"/>
      <c r="AP134" s="315"/>
      <c r="AQ134" s="281"/>
      <c r="AR134" s="281"/>
      <c r="AS134" s="281"/>
      <c r="AT134" s="281"/>
    </row>
    <row r="135" spans="1:46" ht="3.95" customHeight="1">
      <c r="A135" s="532"/>
      <c r="B135" s="283"/>
      <c r="C135" s="298"/>
      <c r="D135" s="298"/>
      <c r="E135" s="298"/>
      <c r="J135" s="284"/>
      <c r="L135" s="532"/>
      <c r="R135" s="292"/>
      <c r="U135" s="510"/>
      <c r="V135" s="620" t="s">
        <v>658</v>
      </c>
      <c r="W135" s="621"/>
      <c r="X135" s="621"/>
      <c r="Y135" s="621"/>
      <c r="Z135" s="621"/>
      <c r="AA135" s="622"/>
      <c r="AB135" s="613">
        <v>0</v>
      </c>
      <c r="AC135" s="614"/>
      <c r="AD135" s="615">
        <f>VLOOKUP(AB135,Base!G3:H9,2)</f>
        <v>-0.1</v>
      </c>
      <c r="AE135" s="615"/>
      <c r="AF135" s="615"/>
      <c r="AG135" s="607" t="s">
        <v>657</v>
      </c>
      <c r="AH135" s="608"/>
      <c r="AI135" s="608"/>
      <c r="AJ135" s="608"/>
      <c r="AK135" s="609"/>
      <c r="AL135" s="613">
        <v>0</v>
      </c>
      <c r="AM135" s="614"/>
      <c r="AN135" s="615">
        <f>VLOOKUP(AL135,Base!G3:H9,2)</f>
        <v>-0.1</v>
      </c>
      <c r="AO135" s="615"/>
      <c r="AP135" s="619"/>
      <c r="AQ135" s="281"/>
      <c r="AR135" s="281"/>
      <c r="AS135" s="281"/>
      <c r="AT135" s="281"/>
    </row>
    <row r="136" spans="1:46" ht="3.95" customHeight="1">
      <c r="A136" s="532"/>
      <c r="B136" s="547" t="s">
        <v>624</v>
      </c>
      <c r="C136" s="629" t="s">
        <v>656</v>
      </c>
      <c r="D136" s="629"/>
      <c r="E136" s="630"/>
      <c r="F136" s="492" t="s">
        <v>622</v>
      </c>
      <c r="G136" s="493"/>
      <c r="H136" s="494">
        <f>FM+7</f>
        <v>7</v>
      </c>
      <c r="I136" s="444">
        <v>6</v>
      </c>
      <c r="J136" s="446"/>
      <c r="L136" s="532"/>
      <c r="M136" s="464" t="s">
        <v>608</v>
      </c>
      <c r="N136" s="456"/>
      <c r="O136" s="507"/>
      <c r="P136" s="444"/>
      <c r="R136" s="635"/>
      <c r="U136" s="510"/>
      <c r="V136" s="623"/>
      <c r="W136" s="624"/>
      <c r="X136" s="624"/>
      <c r="Y136" s="624"/>
      <c r="Z136" s="624"/>
      <c r="AA136" s="625"/>
      <c r="AB136" s="613"/>
      <c r="AC136" s="614"/>
      <c r="AD136" s="615"/>
      <c r="AE136" s="615"/>
      <c r="AF136" s="615"/>
      <c r="AG136" s="610"/>
      <c r="AH136" s="611"/>
      <c r="AI136" s="611"/>
      <c r="AJ136" s="611"/>
      <c r="AK136" s="612"/>
      <c r="AL136" s="613"/>
      <c r="AM136" s="614"/>
      <c r="AN136" s="615"/>
      <c r="AO136" s="615"/>
      <c r="AP136" s="619"/>
      <c r="AQ136" s="281"/>
      <c r="AR136" s="281"/>
      <c r="AS136" s="281"/>
      <c r="AT136" s="281"/>
    </row>
    <row r="137" spans="1:46" ht="3.95" customHeight="1">
      <c r="A137" s="532"/>
      <c r="B137" s="547"/>
      <c r="C137" s="629"/>
      <c r="D137" s="629"/>
      <c r="E137" s="630"/>
      <c r="F137" s="492"/>
      <c r="G137" s="493"/>
      <c r="H137" s="494"/>
      <c r="I137" s="444"/>
      <c r="J137" s="446"/>
      <c r="L137" s="532"/>
      <c r="M137" s="465"/>
      <c r="N137" s="458"/>
      <c r="O137" s="508"/>
      <c r="P137" s="444"/>
      <c r="R137" s="635"/>
      <c r="U137" s="510"/>
      <c r="V137" s="313"/>
      <c r="W137" s="311"/>
      <c r="X137" s="311"/>
      <c r="Y137" s="311"/>
      <c r="Z137" s="311"/>
      <c r="AA137" s="298"/>
      <c r="AG137" s="298"/>
      <c r="AH137" s="298"/>
      <c r="AI137" s="298"/>
      <c r="AJ137" s="298"/>
      <c r="AK137" s="298"/>
      <c r="AM137" s="291"/>
      <c r="AN137" s="291"/>
      <c r="AO137" s="291"/>
      <c r="AP137" s="292"/>
      <c r="AQ137" s="281"/>
      <c r="AR137" s="281"/>
      <c r="AS137" s="281"/>
      <c r="AT137" s="281"/>
    </row>
    <row r="138" spans="1:46" ht="3.95" customHeight="1">
      <c r="A138" s="532"/>
      <c r="B138" s="283"/>
      <c r="C138" s="298"/>
      <c r="D138" s="298"/>
      <c r="E138" s="298"/>
      <c r="J138" s="284"/>
      <c r="L138" s="532"/>
      <c r="R138" s="292"/>
      <c r="U138" s="510"/>
      <c r="V138" s="620" t="s">
        <v>655</v>
      </c>
      <c r="W138" s="621"/>
      <c r="X138" s="621"/>
      <c r="Y138" s="621"/>
      <c r="Z138" s="621"/>
      <c r="AA138" s="622"/>
      <c r="AB138" s="613">
        <v>1</v>
      </c>
      <c r="AC138" s="614"/>
      <c r="AD138" s="615">
        <f>VLOOKUP(AB138,Base!G3:H9,2)</f>
        <v>0</v>
      </c>
      <c r="AE138" s="615"/>
      <c r="AF138" s="615"/>
      <c r="AG138" s="607" t="s">
        <v>654</v>
      </c>
      <c r="AH138" s="608"/>
      <c r="AI138" s="608"/>
      <c r="AJ138" s="608"/>
      <c r="AK138" s="609"/>
      <c r="AL138" s="613">
        <v>1</v>
      </c>
      <c r="AM138" s="614"/>
      <c r="AN138" s="615">
        <f>VLOOKUP(AL138,Base!G3:H9,2)</f>
        <v>0</v>
      </c>
      <c r="AO138" s="615"/>
      <c r="AP138" s="619"/>
      <c r="AQ138" s="281"/>
      <c r="AR138" s="281"/>
      <c r="AS138" s="281"/>
      <c r="AT138" s="281"/>
    </row>
    <row r="139" spans="1:46" ht="3.95" customHeight="1">
      <c r="A139" s="532"/>
      <c r="B139" s="547" t="s">
        <v>624</v>
      </c>
      <c r="C139" s="629" t="s">
        <v>653</v>
      </c>
      <c r="D139" s="629"/>
      <c r="E139" s="630"/>
      <c r="F139" s="492" t="s">
        <v>622</v>
      </c>
      <c r="G139" s="493"/>
      <c r="H139" s="494">
        <f>FM+12</f>
        <v>12</v>
      </c>
      <c r="I139" s="444" t="e">
        <f>PA</f>
        <v>#N/A</v>
      </c>
      <c r="J139" s="446"/>
      <c r="L139" s="532"/>
      <c r="M139" s="464" t="s">
        <v>652</v>
      </c>
      <c r="N139" s="456"/>
      <c r="O139" s="507"/>
      <c r="P139" s="444"/>
      <c r="R139" s="635"/>
      <c r="U139" s="510"/>
      <c r="V139" s="623"/>
      <c r="W139" s="624"/>
      <c r="X139" s="624"/>
      <c r="Y139" s="624"/>
      <c r="Z139" s="624"/>
      <c r="AA139" s="625"/>
      <c r="AB139" s="613"/>
      <c r="AC139" s="614"/>
      <c r="AD139" s="615"/>
      <c r="AE139" s="615"/>
      <c r="AF139" s="615"/>
      <c r="AG139" s="610"/>
      <c r="AH139" s="611"/>
      <c r="AI139" s="611"/>
      <c r="AJ139" s="611"/>
      <c r="AK139" s="612"/>
      <c r="AL139" s="613"/>
      <c r="AM139" s="614"/>
      <c r="AN139" s="615"/>
      <c r="AO139" s="615"/>
      <c r="AP139" s="619"/>
      <c r="AQ139" s="281"/>
      <c r="AR139" s="281"/>
      <c r="AS139" s="281"/>
      <c r="AT139" s="281"/>
    </row>
    <row r="140" spans="1:46" ht="3.95" customHeight="1">
      <c r="A140" s="532"/>
      <c r="B140" s="547"/>
      <c r="C140" s="629"/>
      <c r="D140" s="629"/>
      <c r="E140" s="630"/>
      <c r="F140" s="492"/>
      <c r="G140" s="493"/>
      <c r="H140" s="494"/>
      <c r="I140" s="444"/>
      <c r="J140" s="446"/>
      <c r="L140" s="532"/>
      <c r="M140" s="465"/>
      <c r="N140" s="458"/>
      <c r="O140" s="508"/>
      <c r="P140" s="444"/>
      <c r="R140" s="635"/>
      <c r="U140" s="510"/>
      <c r="V140" s="313"/>
      <c r="W140" s="311"/>
      <c r="X140" s="311"/>
      <c r="Y140" s="311"/>
      <c r="Z140" s="311"/>
      <c r="AA140" s="298"/>
      <c r="AG140" s="298"/>
      <c r="AH140" s="298"/>
      <c r="AI140" s="298"/>
      <c r="AJ140" s="298"/>
      <c r="AK140" s="298"/>
      <c r="AM140" s="291"/>
      <c r="AN140" s="291"/>
      <c r="AO140" s="291"/>
      <c r="AP140" s="292"/>
      <c r="AQ140" s="281"/>
      <c r="AR140" s="281"/>
      <c r="AS140" s="281"/>
      <c r="AT140" s="281"/>
    </row>
    <row r="141" spans="1:46" ht="3.95" customHeight="1">
      <c r="A141" s="532"/>
      <c r="B141" s="283"/>
      <c r="C141" s="298"/>
      <c r="D141" s="298"/>
      <c r="E141" s="298"/>
      <c r="J141" s="284"/>
      <c r="L141" s="532"/>
      <c r="P141" s="288"/>
      <c r="Q141" s="288"/>
      <c r="R141" s="316"/>
      <c r="U141" s="510"/>
      <c r="V141" s="620" t="s">
        <v>651</v>
      </c>
      <c r="W141" s="621"/>
      <c r="X141" s="621"/>
      <c r="Y141" s="621"/>
      <c r="Z141" s="621"/>
      <c r="AA141" s="622"/>
      <c r="AB141" s="613">
        <v>1</v>
      </c>
      <c r="AC141" s="614"/>
      <c r="AD141" s="615">
        <f>VLOOKUP(AB141,Base!G3:H9,2)</f>
        <v>0</v>
      </c>
      <c r="AE141" s="615"/>
      <c r="AF141" s="615"/>
      <c r="AG141" s="607" t="s">
        <v>650</v>
      </c>
      <c r="AH141" s="608"/>
      <c r="AI141" s="608"/>
      <c r="AJ141" s="608"/>
      <c r="AK141" s="609"/>
      <c r="AL141" s="613">
        <v>0</v>
      </c>
      <c r="AM141" s="614"/>
      <c r="AN141" s="615">
        <f>VLOOKUP(AL141,Base!G3:H9,2)</f>
        <v>-0.1</v>
      </c>
      <c r="AO141" s="615"/>
      <c r="AP141" s="619"/>
      <c r="AQ141" s="281"/>
      <c r="AR141" s="281"/>
      <c r="AS141" s="281"/>
      <c r="AT141" s="281"/>
    </row>
    <row r="142" spans="1:46" ht="3.95" customHeight="1">
      <c r="A142" s="532"/>
      <c r="B142" s="547" t="s">
        <v>624</v>
      </c>
      <c r="C142" s="629" t="s">
        <v>649</v>
      </c>
      <c r="D142" s="629"/>
      <c r="E142" s="630"/>
      <c r="F142" s="492" t="s">
        <v>622</v>
      </c>
      <c r="G142" s="493"/>
      <c r="H142" s="494">
        <f>FM+2</f>
        <v>2</v>
      </c>
      <c r="I142" s="444">
        <v>3</v>
      </c>
      <c r="J142" s="446"/>
      <c r="L142" s="532"/>
      <c r="M142" s="464" t="s">
        <v>581</v>
      </c>
      <c r="N142" s="456"/>
      <c r="O142" s="507"/>
      <c r="P142" s="441">
        <f>P133+P136+P139</f>
        <v>0</v>
      </c>
      <c r="R142" s="636">
        <f>R133+R136+R139</f>
        <v>0</v>
      </c>
      <c r="U142" s="510"/>
      <c r="V142" s="623"/>
      <c r="W142" s="624"/>
      <c r="X142" s="624"/>
      <c r="Y142" s="624"/>
      <c r="Z142" s="624"/>
      <c r="AA142" s="625"/>
      <c r="AB142" s="613"/>
      <c r="AC142" s="614"/>
      <c r="AD142" s="615"/>
      <c r="AE142" s="615"/>
      <c r="AF142" s="615"/>
      <c r="AG142" s="610"/>
      <c r="AH142" s="611"/>
      <c r="AI142" s="611"/>
      <c r="AJ142" s="611"/>
      <c r="AK142" s="612"/>
      <c r="AL142" s="613"/>
      <c r="AM142" s="614"/>
      <c r="AN142" s="615"/>
      <c r="AO142" s="615"/>
      <c r="AP142" s="619"/>
      <c r="AQ142" s="281"/>
      <c r="AR142" s="281"/>
      <c r="AS142" s="281"/>
      <c r="AT142" s="281"/>
    </row>
    <row r="143" spans="1:46" ht="3.95" customHeight="1">
      <c r="A143" s="532"/>
      <c r="B143" s="547"/>
      <c r="C143" s="629"/>
      <c r="D143" s="629"/>
      <c r="E143" s="630"/>
      <c r="F143" s="492"/>
      <c r="G143" s="493"/>
      <c r="H143" s="494"/>
      <c r="I143" s="444"/>
      <c r="J143" s="446"/>
      <c r="L143" s="532"/>
      <c r="M143" s="465"/>
      <c r="N143" s="458"/>
      <c r="O143" s="508"/>
      <c r="P143" s="444"/>
      <c r="R143" s="616"/>
      <c r="U143" s="510"/>
      <c r="V143" s="312"/>
      <c r="W143" s="299"/>
      <c r="X143" s="299"/>
      <c r="Y143" s="299"/>
      <c r="Z143" s="299"/>
      <c r="AA143" s="298"/>
      <c r="AG143" s="298"/>
      <c r="AH143" s="298"/>
      <c r="AI143" s="298"/>
      <c r="AJ143" s="298"/>
      <c r="AK143" s="298"/>
      <c r="AM143" s="285"/>
      <c r="AN143" s="285"/>
      <c r="AO143" s="285"/>
      <c r="AP143" s="315"/>
      <c r="AQ143" s="281"/>
      <c r="AR143" s="281"/>
      <c r="AS143" s="281"/>
      <c r="AT143" s="281"/>
    </row>
    <row r="144" spans="1:46" ht="3.95" customHeight="1">
      <c r="A144" s="532"/>
      <c r="B144" s="283"/>
      <c r="C144" s="298"/>
      <c r="D144" s="298"/>
      <c r="E144" s="298"/>
      <c r="J144" s="284"/>
      <c r="L144" s="532"/>
      <c r="R144" s="292"/>
      <c r="U144" s="510"/>
      <c r="V144" s="620" t="s">
        <v>648</v>
      </c>
      <c r="W144" s="621"/>
      <c r="X144" s="621"/>
      <c r="Y144" s="621"/>
      <c r="Z144" s="621"/>
      <c r="AA144" s="622"/>
      <c r="AB144" s="613">
        <v>0</v>
      </c>
      <c r="AC144" s="614"/>
      <c r="AD144" s="615">
        <f>VLOOKUP(AB144,Base!G3:H9,2)</f>
        <v>-0.1</v>
      </c>
      <c r="AE144" s="615"/>
      <c r="AF144" s="615"/>
      <c r="AG144" s="607" t="s">
        <v>647</v>
      </c>
      <c r="AH144" s="608"/>
      <c r="AI144" s="608"/>
      <c r="AJ144" s="608"/>
      <c r="AK144" s="609"/>
      <c r="AL144" s="613">
        <v>0</v>
      </c>
      <c r="AM144" s="614"/>
      <c r="AN144" s="615">
        <f>VLOOKUP(AL144,Base!G3:H9,2)</f>
        <v>-0.1</v>
      </c>
      <c r="AO144" s="615"/>
      <c r="AP144" s="619"/>
      <c r="AQ144" s="281"/>
      <c r="AR144" s="281"/>
      <c r="AS144" s="281"/>
      <c r="AT144" s="281"/>
    </row>
    <row r="145" spans="1:46" ht="3.95" customHeight="1">
      <c r="A145" s="532"/>
      <c r="B145" s="547" t="s">
        <v>624</v>
      </c>
      <c r="C145" s="629" t="s">
        <v>646</v>
      </c>
      <c r="D145" s="629"/>
      <c r="E145" s="630"/>
      <c r="F145" s="492" t="s">
        <v>622</v>
      </c>
      <c r="G145" s="493"/>
      <c r="H145" s="494">
        <f>FM+2</f>
        <v>2</v>
      </c>
      <c r="I145" s="444">
        <v>4</v>
      </c>
      <c r="J145" s="446"/>
      <c r="L145" s="532"/>
      <c r="M145" s="464" t="s">
        <v>645</v>
      </c>
      <c r="N145" s="456"/>
      <c r="O145" s="507"/>
      <c r="P145" s="444">
        <v>20</v>
      </c>
      <c r="R145" s="616">
        <f>P154</f>
        <v>20</v>
      </c>
      <c r="U145" s="510"/>
      <c r="V145" s="623"/>
      <c r="W145" s="624"/>
      <c r="X145" s="624"/>
      <c r="Y145" s="624"/>
      <c r="Z145" s="624"/>
      <c r="AA145" s="625"/>
      <c r="AB145" s="613"/>
      <c r="AC145" s="614"/>
      <c r="AD145" s="615"/>
      <c r="AE145" s="615"/>
      <c r="AF145" s="615"/>
      <c r="AG145" s="610"/>
      <c r="AH145" s="611"/>
      <c r="AI145" s="611"/>
      <c r="AJ145" s="611"/>
      <c r="AK145" s="612"/>
      <c r="AL145" s="613"/>
      <c r="AM145" s="614"/>
      <c r="AN145" s="615"/>
      <c r="AO145" s="615"/>
      <c r="AP145" s="619"/>
      <c r="AQ145" s="281"/>
      <c r="AR145" s="281"/>
      <c r="AS145" s="281"/>
      <c r="AT145" s="281"/>
    </row>
    <row r="146" spans="1:46" ht="3.95" customHeight="1">
      <c r="A146" s="532"/>
      <c r="B146" s="547"/>
      <c r="C146" s="629"/>
      <c r="D146" s="629"/>
      <c r="E146" s="630"/>
      <c r="F146" s="492"/>
      <c r="G146" s="493"/>
      <c r="H146" s="494"/>
      <c r="I146" s="444"/>
      <c r="J146" s="446"/>
      <c r="L146" s="533"/>
      <c r="M146" s="465"/>
      <c r="N146" s="458"/>
      <c r="O146" s="508"/>
      <c r="P146" s="447"/>
      <c r="Q146" s="288"/>
      <c r="R146" s="652"/>
      <c r="U146" s="510"/>
      <c r="V146" s="313"/>
      <c r="W146" s="311"/>
      <c r="X146" s="311"/>
      <c r="Y146" s="311"/>
      <c r="Z146" s="311"/>
      <c r="AA146" s="298"/>
      <c r="AG146" s="298"/>
      <c r="AH146" s="298"/>
      <c r="AI146" s="298"/>
      <c r="AJ146" s="298"/>
      <c r="AK146" s="298"/>
      <c r="AM146" s="291"/>
      <c r="AN146" s="291"/>
      <c r="AO146" s="291"/>
      <c r="AP146" s="292"/>
      <c r="AQ146" s="281"/>
      <c r="AR146" s="281"/>
      <c r="AS146" s="281"/>
      <c r="AT146" s="281"/>
    </row>
    <row r="147" spans="1:46" ht="3.95" customHeight="1">
      <c r="A147" s="532"/>
      <c r="B147" s="283"/>
      <c r="C147" s="298"/>
      <c r="D147" s="298"/>
      <c r="E147" s="298"/>
      <c r="J147" s="284"/>
      <c r="U147" s="510"/>
      <c r="V147" s="620" t="s">
        <v>644</v>
      </c>
      <c r="W147" s="621"/>
      <c r="X147" s="621"/>
      <c r="Y147" s="621"/>
      <c r="Z147" s="621"/>
      <c r="AA147" s="622"/>
      <c r="AB147" s="613">
        <v>0</v>
      </c>
      <c r="AC147" s="614"/>
      <c r="AD147" s="615">
        <f>VLOOKUP(AB147,Base!G3:H9,2)</f>
        <v>-0.1</v>
      </c>
      <c r="AE147" s="615"/>
      <c r="AF147" s="615"/>
      <c r="AG147" s="607" t="s">
        <v>643</v>
      </c>
      <c r="AH147" s="608"/>
      <c r="AI147" s="608"/>
      <c r="AJ147" s="608"/>
      <c r="AK147" s="609"/>
      <c r="AL147" s="613">
        <v>0</v>
      </c>
      <c r="AM147" s="614"/>
      <c r="AN147" s="615">
        <f>VLOOKUP(AL147,Base!G3:H9,2)</f>
        <v>-0.1</v>
      </c>
      <c r="AO147" s="615"/>
      <c r="AP147" s="619"/>
      <c r="AQ147" s="281"/>
      <c r="AR147" s="281"/>
      <c r="AS147" s="281"/>
      <c r="AT147" s="281"/>
    </row>
    <row r="148" spans="1:46" ht="3.95" customHeight="1">
      <c r="A148" s="532"/>
      <c r="B148" s="547" t="s">
        <v>624</v>
      </c>
      <c r="C148" s="629" t="s">
        <v>642</v>
      </c>
      <c r="D148" s="629"/>
      <c r="E148" s="630"/>
      <c r="F148" s="492" t="s">
        <v>622</v>
      </c>
      <c r="G148" s="493"/>
      <c r="H148" s="494">
        <f>FM+4</f>
        <v>4</v>
      </c>
      <c r="I148" s="444">
        <v>4</v>
      </c>
      <c r="J148" s="446"/>
      <c r="L148" s="531" t="s">
        <v>641</v>
      </c>
      <c r="M148" s="456" t="s">
        <v>640</v>
      </c>
      <c r="N148" s="456"/>
      <c r="O148" s="507"/>
      <c r="P148" s="643">
        <f>20+5*J35</f>
        <v>20</v>
      </c>
      <c r="Q148" s="644"/>
      <c r="R148" s="645"/>
      <c r="U148" s="510"/>
      <c r="V148" s="623"/>
      <c r="W148" s="624"/>
      <c r="X148" s="624"/>
      <c r="Y148" s="624"/>
      <c r="Z148" s="624"/>
      <c r="AA148" s="625"/>
      <c r="AB148" s="613"/>
      <c r="AC148" s="614"/>
      <c r="AD148" s="615"/>
      <c r="AE148" s="615"/>
      <c r="AF148" s="615"/>
      <c r="AG148" s="610"/>
      <c r="AH148" s="611"/>
      <c r="AI148" s="611"/>
      <c r="AJ148" s="611"/>
      <c r="AK148" s="612"/>
      <c r="AL148" s="613"/>
      <c r="AM148" s="614"/>
      <c r="AN148" s="615"/>
      <c r="AO148" s="615"/>
      <c r="AP148" s="619"/>
      <c r="AQ148" s="281"/>
      <c r="AR148" s="281"/>
      <c r="AS148" s="281"/>
      <c r="AT148" s="281"/>
    </row>
    <row r="149" spans="1:46" ht="3.95" customHeight="1">
      <c r="A149" s="532"/>
      <c r="B149" s="547"/>
      <c r="C149" s="629"/>
      <c r="D149" s="629"/>
      <c r="E149" s="630"/>
      <c r="F149" s="492"/>
      <c r="G149" s="493"/>
      <c r="H149" s="494"/>
      <c r="I149" s="444"/>
      <c r="J149" s="446"/>
      <c r="L149" s="532"/>
      <c r="M149" s="458"/>
      <c r="N149" s="458"/>
      <c r="O149" s="508"/>
      <c r="P149" s="646"/>
      <c r="Q149" s="647"/>
      <c r="R149" s="648"/>
      <c r="U149" s="510"/>
      <c r="V149" s="313"/>
      <c r="W149" s="311"/>
      <c r="X149" s="311"/>
      <c r="Y149" s="311"/>
      <c r="Z149" s="311"/>
      <c r="AA149" s="298"/>
      <c r="AG149" s="298"/>
      <c r="AH149" s="298"/>
      <c r="AI149" s="298"/>
      <c r="AJ149" s="298"/>
      <c r="AK149" s="298"/>
      <c r="AM149" s="291"/>
      <c r="AN149" s="291"/>
      <c r="AO149" s="291"/>
      <c r="AP149" s="292"/>
      <c r="AQ149" s="281"/>
      <c r="AR149" s="281"/>
      <c r="AS149" s="281"/>
      <c r="AT149" s="281"/>
    </row>
    <row r="150" spans="1:46" ht="3.95" customHeight="1">
      <c r="A150" s="532"/>
      <c r="B150" s="317"/>
      <c r="C150" s="299"/>
      <c r="D150" s="299"/>
      <c r="E150" s="299"/>
      <c r="F150" s="282"/>
      <c r="G150" s="282"/>
      <c r="H150" s="282"/>
      <c r="I150" s="282"/>
      <c r="J150" s="300"/>
      <c r="K150" s="282"/>
      <c r="L150" s="532"/>
      <c r="R150" s="292"/>
      <c r="U150" s="510"/>
      <c r="V150" s="620" t="s">
        <v>639</v>
      </c>
      <c r="W150" s="621"/>
      <c r="X150" s="621"/>
      <c r="Y150" s="621"/>
      <c r="Z150" s="621"/>
      <c r="AA150" s="622"/>
      <c r="AB150" s="613">
        <v>0</v>
      </c>
      <c r="AC150" s="614"/>
      <c r="AD150" s="615">
        <f>VLOOKUP(AB150,Base!G3:H9,2)</f>
        <v>-0.1</v>
      </c>
      <c r="AE150" s="615"/>
      <c r="AF150" s="615"/>
      <c r="AG150" s="607" t="s">
        <v>638</v>
      </c>
      <c r="AH150" s="608"/>
      <c r="AI150" s="608"/>
      <c r="AJ150" s="608"/>
      <c r="AK150" s="609"/>
      <c r="AL150" s="613">
        <v>1</v>
      </c>
      <c r="AM150" s="614"/>
      <c r="AN150" s="615">
        <f>VLOOKUP(AL150,Base!G3:H9,2)</f>
        <v>0</v>
      </c>
      <c r="AO150" s="615"/>
      <c r="AP150" s="619"/>
      <c r="AQ150" s="281"/>
      <c r="AR150" s="281"/>
      <c r="AS150" s="281"/>
      <c r="AT150" s="281"/>
    </row>
    <row r="151" spans="1:46" ht="3.95" customHeight="1">
      <c r="A151" s="532"/>
      <c r="B151" s="547" t="s">
        <v>624</v>
      </c>
      <c r="C151" s="629" t="s">
        <v>637</v>
      </c>
      <c r="D151" s="629"/>
      <c r="E151" s="630"/>
      <c r="F151" s="492" t="s">
        <v>622</v>
      </c>
      <c r="G151" s="493"/>
      <c r="H151" s="494">
        <f>FM+4</f>
        <v>4</v>
      </c>
      <c r="I151" s="444">
        <v>5</v>
      </c>
      <c r="J151" s="446"/>
      <c r="K151" s="282"/>
      <c r="L151" s="532"/>
      <c r="M151" s="456" t="s">
        <v>636</v>
      </c>
      <c r="N151" s="456"/>
      <c r="O151" s="507"/>
      <c r="P151" s="646">
        <f>20+10*J35</f>
        <v>20</v>
      </c>
      <c r="Q151" s="647"/>
      <c r="R151" s="648"/>
      <c r="U151" s="510"/>
      <c r="V151" s="623"/>
      <c r="W151" s="624"/>
      <c r="X151" s="624"/>
      <c r="Y151" s="624"/>
      <c r="Z151" s="624"/>
      <c r="AA151" s="625"/>
      <c r="AB151" s="613"/>
      <c r="AC151" s="614"/>
      <c r="AD151" s="615"/>
      <c r="AE151" s="615"/>
      <c r="AF151" s="615"/>
      <c r="AG151" s="610"/>
      <c r="AH151" s="611"/>
      <c r="AI151" s="611"/>
      <c r="AJ151" s="611"/>
      <c r="AK151" s="612"/>
      <c r="AL151" s="613"/>
      <c r="AM151" s="614"/>
      <c r="AN151" s="615"/>
      <c r="AO151" s="615"/>
      <c r="AP151" s="619"/>
      <c r="AQ151" s="281"/>
      <c r="AR151" s="281"/>
      <c r="AS151" s="281"/>
      <c r="AT151" s="281"/>
    </row>
    <row r="152" spans="1:46" ht="3.95" customHeight="1">
      <c r="A152" s="532"/>
      <c r="B152" s="547"/>
      <c r="C152" s="629"/>
      <c r="D152" s="629"/>
      <c r="E152" s="630"/>
      <c r="F152" s="492"/>
      <c r="G152" s="493"/>
      <c r="H152" s="494"/>
      <c r="I152" s="444"/>
      <c r="J152" s="446"/>
      <c r="K152" s="282"/>
      <c r="L152" s="532"/>
      <c r="M152" s="458"/>
      <c r="N152" s="458"/>
      <c r="O152" s="508"/>
      <c r="P152" s="646"/>
      <c r="Q152" s="647"/>
      <c r="R152" s="648"/>
      <c r="U152" s="510"/>
      <c r="V152" s="313"/>
      <c r="W152" s="311"/>
      <c r="X152" s="311"/>
      <c r="Y152" s="311"/>
      <c r="Z152" s="311"/>
      <c r="AA152" s="298"/>
      <c r="AG152" s="298"/>
      <c r="AH152" s="298"/>
      <c r="AI152" s="298"/>
      <c r="AJ152" s="298"/>
      <c r="AK152" s="298"/>
      <c r="AM152" s="291"/>
      <c r="AN152" s="291"/>
      <c r="AO152" s="291"/>
      <c r="AP152" s="292"/>
      <c r="AQ152" s="281"/>
      <c r="AR152" s="281"/>
      <c r="AS152" s="281"/>
      <c r="AT152" s="281"/>
    </row>
    <row r="153" spans="1:46" ht="3.95" customHeight="1">
      <c r="A153" s="532"/>
      <c r="B153" s="283"/>
      <c r="C153" s="298"/>
      <c r="D153" s="298"/>
      <c r="E153" s="298"/>
      <c r="F153" s="318"/>
      <c r="J153" s="284"/>
      <c r="L153" s="532"/>
      <c r="R153" s="292"/>
      <c r="U153" s="510"/>
      <c r="V153" s="620" t="s">
        <v>635</v>
      </c>
      <c r="W153" s="621"/>
      <c r="X153" s="621"/>
      <c r="Y153" s="621"/>
      <c r="Z153" s="621"/>
      <c r="AA153" s="622"/>
      <c r="AB153" s="613">
        <v>0</v>
      </c>
      <c r="AC153" s="614"/>
      <c r="AD153" s="615">
        <f>VLOOKUP(AB153,Base!G3:H9,2)</f>
        <v>-0.1</v>
      </c>
      <c r="AE153" s="615"/>
      <c r="AF153" s="615"/>
      <c r="AG153" s="607" t="s">
        <v>634</v>
      </c>
      <c r="AH153" s="608"/>
      <c r="AI153" s="608"/>
      <c r="AJ153" s="608"/>
      <c r="AK153" s="609"/>
      <c r="AL153" s="613">
        <v>0</v>
      </c>
      <c r="AM153" s="614"/>
      <c r="AN153" s="615">
        <f>VLOOKUP(AL153,Base!G3:H9,2)</f>
        <v>-0.1</v>
      </c>
      <c r="AO153" s="615"/>
      <c r="AP153" s="619"/>
      <c r="AQ153" s="281"/>
      <c r="AR153" s="281"/>
      <c r="AS153" s="281"/>
      <c r="AT153" s="281"/>
    </row>
    <row r="154" spans="1:46" ht="3.95" customHeight="1">
      <c r="A154" s="532"/>
      <c r="B154" s="547" t="s">
        <v>624</v>
      </c>
      <c r="C154" s="629" t="s">
        <v>633</v>
      </c>
      <c r="D154" s="629"/>
      <c r="E154" s="630"/>
      <c r="F154" s="492" t="s">
        <v>622</v>
      </c>
      <c r="G154" s="493"/>
      <c r="H154" s="494">
        <f>FM+5</f>
        <v>5</v>
      </c>
      <c r="I154" s="444">
        <v>5</v>
      </c>
      <c r="J154" s="446"/>
      <c r="L154" s="532"/>
      <c r="M154" s="456" t="s">
        <v>632</v>
      </c>
      <c r="N154" s="456"/>
      <c r="O154" s="507"/>
      <c r="P154" s="646">
        <f>20+15*J35</f>
        <v>20</v>
      </c>
      <c r="Q154" s="647"/>
      <c r="R154" s="648"/>
      <c r="U154" s="510"/>
      <c r="V154" s="623"/>
      <c r="W154" s="624"/>
      <c r="X154" s="624"/>
      <c r="Y154" s="624"/>
      <c r="Z154" s="624"/>
      <c r="AA154" s="625"/>
      <c r="AB154" s="613"/>
      <c r="AC154" s="614"/>
      <c r="AD154" s="615"/>
      <c r="AE154" s="615"/>
      <c r="AF154" s="615"/>
      <c r="AG154" s="610"/>
      <c r="AH154" s="611"/>
      <c r="AI154" s="611"/>
      <c r="AJ154" s="611"/>
      <c r="AK154" s="612"/>
      <c r="AL154" s="613"/>
      <c r="AM154" s="614"/>
      <c r="AN154" s="615"/>
      <c r="AO154" s="615"/>
      <c r="AP154" s="619"/>
      <c r="AQ154" s="281"/>
      <c r="AR154" s="281"/>
      <c r="AS154" s="281"/>
      <c r="AT154" s="281"/>
    </row>
    <row r="155" spans="1:46" ht="3.95" customHeight="1">
      <c r="A155" s="532"/>
      <c r="B155" s="547"/>
      <c r="C155" s="629"/>
      <c r="D155" s="629"/>
      <c r="E155" s="630"/>
      <c r="F155" s="492"/>
      <c r="G155" s="493"/>
      <c r="H155" s="494"/>
      <c r="I155" s="444"/>
      <c r="J155" s="446"/>
      <c r="L155" s="533"/>
      <c r="M155" s="458"/>
      <c r="N155" s="458"/>
      <c r="O155" s="508"/>
      <c r="P155" s="649"/>
      <c r="Q155" s="650"/>
      <c r="R155" s="651"/>
      <c r="U155" s="510"/>
      <c r="V155" s="313"/>
      <c r="W155" s="311"/>
      <c r="X155" s="311"/>
      <c r="Y155" s="311"/>
      <c r="Z155" s="311"/>
      <c r="AA155" s="298"/>
      <c r="AG155" s="298"/>
      <c r="AH155" s="298"/>
      <c r="AI155" s="298"/>
      <c r="AJ155" s="298"/>
      <c r="AK155" s="298"/>
      <c r="AM155" s="291"/>
      <c r="AN155" s="291"/>
      <c r="AO155" s="291"/>
      <c r="AP155" s="292"/>
      <c r="AQ155" s="281"/>
      <c r="AR155" s="281"/>
      <c r="AS155" s="281"/>
      <c r="AT155" s="281"/>
    </row>
    <row r="156" spans="1:46" ht="3.95" customHeight="1">
      <c r="A156" s="532"/>
      <c r="B156" s="283"/>
      <c r="C156" s="298"/>
      <c r="D156" s="298"/>
      <c r="E156" s="298"/>
      <c r="J156" s="284"/>
      <c r="U156" s="510"/>
      <c r="V156" s="620" t="s">
        <v>631</v>
      </c>
      <c r="W156" s="621"/>
      <c r="X156" s="621"/>
      <c r="Y156" s="621"/>
      <c r="Z156" s="621"/>
      <c r="AA156" s="622"/>
      <c r="AB156" s="613">
        <v>1</v>
      </c>
      <c r="AC156" s="614"/>
      <c r="AD156" s="615">
        <f>VLOOKUP(AB156,Base!G3:H9,2)</f>
        <v>0</v>
      </c>
      <c r="AE156" s="615"/>
      <c r="AF156" s="615"/>
      <c r="AG156" s="607" t="s">
        <v>630</v>
      </c>
      <c r="AH156" s="608"/>
      <c r="AI156" s="608"/>
      <c r="AJ156" s="608"/>
      <c r="AK156" s="609"/>
      <c r="AL156" s="613">
        <v>0</v>
      </c>
      <c r="AM156" s="614"/>
      <c r="AN156" s="615">
        <f>VLOOKUP(AL156,Base!G3:H9,2)</f>
        <v>-0.1</v>
      </c>
      <c r="AO156" s="615"/>
      <c r="AP156" s="619"/>
      <c r="AQ156" s="281"/>
      <c r="AR156" s="281"/>
      <c r="AS156" s="281"/>
      <c r="AT156" s="281"/>
    </row>
    <row r="157" spans="1:46" ht="3.95" customHeight="1">
      <c r="A157" s="532"/>
      <c r="B157" s="547" t="s">
        <v>624</v>
      </c>
      <c r="C157" s="629" t="s">
        <v>629</v>
      </c>
      <c r="D157" s="629"/>
      <c r="E157" s="630"/>
      <c r="F157" s="492" t="s">
        <v>622</v>
      </c>
      <c r="G157" s="493"/>
      <c r="H157" s="494">
        <f>FM+7</f>
        <v>7</v>
      </c>
      <c r="I157" s="444">
        <v>6</v>
      </c>
      <c r="J157" s="446"/>
      <c r="L157" s="509" t="s">
        <v>628</v>
      </c>
      <c r="M157" s="464" t="s">
        <v>627</v>
      </c>
      <c r="N157" s="456"/>
      <c r="O157" s="507"/>
      <c r="P157" s="637">
        <v>0</v>
      </c>
      <c r="Q157" s="637"/>
      <c r="R157" s="638"/>
      <c r="U157" s="510"/>
      <c r="V157" s="623"/>
      <c r="W157" s="624"/>
      <c r="X157" s="624"/>
      <c r="Y157" s="624"/>
      <c r="Z157" s="624"/>
      <c r="AA157" s="625"/>
      <c r="AB157" s="613"/>
      <c r="AC157" s="614"/>
      <c r="AD157" s="615"/>
      <c r="AE157" s="615"/>
      <c r="AF157" s="615"/>
      <c r="AG157" s="610"/>
      <c r="AH157" s="611"/>
      <c r="AI157" s="611"/>
      <c r="AJ157" s="611"/>
      <c r="AK157" s="612"/>
      <c r="AL157" s="613"/>
      <c r="AM157" s="614"/>
      <c r="AN157" s="615"/>
      <c r="AO157" s="615"/>
      <c r="AP157" s="619"/>
      <c r="AQ157" s="281"/>
      <c r="AR157" s="281"/>
      <c r="AS157" s="281"/>
      <c r="AT157" s="281"/>
    </row>
    <row r="158" spans="1:46" ht="3.95" customHeight="1">
      <c r="A158" s="532"/>
      <c r="B158" s="547"/>
      <c r="C158" s="629"/>
      <c r="D158" s="629"/>
      <c r="E158" s="630"/>
      <c r="F158" s="492"/>
      <c r="G158" s="493"/>
      <c r="H158" s="494"/>
      <c r="I158" s="444"/>
      <c r="J158" s="446"/>
      <c r="L158" s="510"/>
      <c r="M158" s="465"/>
      <c r="N158" s="458"/>
      <c r="O158" s="508"/>
      <c r="P158" s="639"/>
      <c r="Q158" s="639"/>
      <c r="R158" s="640"/>
      <c r="U158" s="510"/>
      <c r="V158" s="313"/>
      <c r="W158" s="311"/>
      <c r="X158" s="311"/>
      <c r="Y158" s="311"/>
      <c r="Z158" s="311"/>
      <c r="AA158" s="298"/>
      <c r="AG158" s="298"/>
      <c r="AH158" s="298"/>
      <c r="AI158" s="298"/>
      <c r="AJ158" s="298"/>
      <c r="AK158" s="298"/>
      <c r="AM158" s="291"/>
      <c r="AN158" s="291"/>
      <c r="AO158" s="291"/>
      <c r="AP158" s="292"/>
      <c r="AQ158" s="281"/>
      <c r="AR158" s="281"/>
      <c r="AS158" s="281"/>
      <c r="AT158" s="281"/>
    </row>
    <row r="159" spans="1:46" ht="3.95" customHeight="1">
      <c r="A159" s="532"/>
      <c r="B159" s="283"/>
      <c r="C159" s="298"/>
      <c r="D159" s="298"/>
      <c r="E159" s="298"/>
      <c r="J159" s="284"/>
      <c r="L159" s="510"/>
      <c r="P159" s="639"/>
      <c r="Q159" s="639"/>
      <c r="R159" s="640"/>
      <c r="U159" s="510"/>
      <c r="V159" s="620" t="s">
        <v>626</v>
      </c>
      <c r="W159" s="621"/>
      <c r="X159" s="621"/>
      <c r="Y159" s="621"/>
      <c r="Z159" s="621"/>
      <c r="AA159" s="622"/>
      <c r="AB159" s="613">
        <v>0</v>
      </c>
      <c r="AC159" s="614"/>
      <c r="AD159" s="615">
        <f>VLOOKUP(AB159,Base!G3:H9,2)</f>
        <v>-0.1</v>
      </c>
      <c r="AE159" s="615"/>
      <c r="AF159" s="615"/>
      <c r="AG159" s="607" t="s">
        <v>625</v>
      </c>
      <c r="AH159" s="608"/>
      <c r="AI159" s="608"/>
      <c r="AJ159" s="608"/>
      <c r="AK159" s="609"/>
      <c r="AL159" s="613">
        <v>0</v>
      </c>
      <c r="AM159" s="614"/>
      <c r="AN159" s="615">
        <f>VLOOKUP(AL159,Base!G3:H9,2)</f>
        <v>-0.1</v>
      </c>
      <c r="AO159" s="615"/>
      <c r="AP159" s="619"/>
      <c r="AQ159" s="281"/>
      <c r="AR159" s="281"/>
      <c r="AS159" s="281"/>
      <c r="AT159" s="281"/>
    </row>
    <row r="160" spans="1:46" ht="3.95" customHeight="1">
      <c r="A160" s="532"/>
      <c r="B160" s="547" t="s">
        <v>624</v>
      </c>
      <c r="C160" s="629" t="s">
        <v>623</v>
      </c>
      <c r="D160" s="629"/>
      <c r="E160" s="630"/>
      <c r="F160" s="492" t="s">
        <v>622</v>
      </c>
      <c r="G160" s="493"/>
      <c r="H160" s="494">
        <f>FM+8</f>
        <v>8</v>
      </c>
      <c r="I160" s="444">
        <v>6</v>
      </c>
      <c r="J160" s="446"/>
      <c r="L160" s="510"/>
      <c r="P160" s="639"/>
      <c r="Q160" s="639"/>
      <c r="R160" s="640"/>
      <c r="U160" s="510"/>
      <c r="V160" s="623"/>
      <c r="W160" s="624"/>
      <c r="X160" s="624"/>
      <c r="Y160" s="624"/>
      <c r="Z160" s="624"/>
      <c r="AA160" s="625"/>
      <c r="AB160" s="613"/>
      <c r="AC160" s="614"/>
      <c r="AD160" s="615"/>
      <c r="AE160" s="615"/>
      <c r="AF160" s="615"/>
      <c r="AG160" s="610"/>
      <c r="AH160" s="611"/>
      <c r="AI160" s="611"/>
      <c r="AJ160" s="611"/>
      <c r="AK160" s="612"/>
      <c r="AL160" s="613"/>
      <c r="AM160" s="614"/>
      <c r="AN160" s="615"/>
      <c r="AO160" s="615"/>
      <c r="AP160" s="619"/>
      <c r="AQ160" s="281"/>
      <c r="AR160" s="281"/>
      <c r="AS160" s="281"/>
      <c r="AT160" s="281"/>
    </row>
    <row r="161" spans="1:46" ht="3.95" customHeight="1">
      <c r="A161" s="533"/>
      <c r="B161" s="465"/>
      <c r="C161" s="631"/>
      <c r="D161" s="631"/>
      <c r="E161" s="632"/>
      <c r="F161" s="495"/>
      <c r="G161" s="496"/>
      <c r="H161" s="497"/>
      <c r="I161" s="447"/>
      <c r="J161" s="449"/>
      <c r="L161" s="511"/>
      <c r="M161" s="288"/>
      <c r="N161" s="288"/>
      <c r="O161" s="288"/>
      <c r="P161" s="641"/>
      <c r="Q161" s="641"/>
      <c r="R161" s="642"/>
      <c r="U161" s="510"/>
      <c r="V161" s="312"/>
      <c r="W161" s="299"/>
      <c r="X161" s="299"/>
      <c r="Y161" s="299"/>
      <c r="Z161" s="299"/>
      <c r="AA161" s="298"/>
      <c r="AG161" s="298"/>
      <c r="AH161" s="298"/>
      <c r="AI161" s="298"/>
      <c r="AJ161" s="298"/>
      <c r="AK161" s="298"/>
      <c r="AM161" s="291"/>
      <c r="AN161" s="291"/>
      <c r="AO161" s="291"/>
      <c r="AP161" s="292"/>
      <c r="AQ161" s="281"/>
      <c r="AR161" s="281"/>
      <c r="AS161" s="281"/>
      <c r="AT161" s="281"/>
    </row>
    <row r="162" spans="1:46" ht="3.95" customHeight="1">
      <c r="U162" s="510"/>
      <c r="V162" s="620" t="s">
        <v>131</v>
      </c>
      <c r="W162" s="621"/>
      <c r="X162" s="621"/>
      <c r="Y162" s="621"/>
      <c r="Z162" s="621"/>
      <c r="AA162" s="622"/>
      <c r="AB162" s="613">
        <v>0</v>
      </c>
      <c r="AC162" s="614"/>
      <c r="AD162" s="615">
        <f>VLOOKUP(AB162,Base!G3:H9,2)</f>
        <v>-0.1</v>
      </c>
      <c r="AE162" s="615"/>
      <c r="AF162" s="615"/>
      <c r="AG162" s="607" t="s">
        <v>621</v>
      </c>
      <c r="AH162" s="608"/>
      <c r="AI162" s="608"/>
      <c r="AJ162" s="608"/>
      <c r="AK162" s="609"/>
      <c r="AL162" s="613">
        <v>0</v>
      </c>
      <c r="AM162" s="614"/>
      <c r="AN162" s="615">
        <f>VLOOKUP(AL162,Base!G3:H9,2)</f>
        <v>-0.1</v>
      </c>
      <c r="AO162" s="615"/>
      <c r="AP162" s="619"/>
      <c r="AQ162" s="281"/>
      <c r="AR162" s="281"/>
      <c r="AS162" s="281"/>
      <c r="AT162" s="281"/>
    </row>
    <row r="163" spans="1:46" ht="3.95" customHeight="1">
      <c r="U163" s="510"/>
      <c r="V163" s="623"/>
      <c r="W163" s="624"/>
      <c r="X163" s="624"/>
      <c r="Y163" s="624"/>
      <c r="Z163" s="624"/>
      <c r="AA163" s="625"/>
      <c r="AB163" s="613"/>
      <c r="AC163" s="614"/>
      <c r="AD163" s="615"/>
      <c r="AE163" s="615"/>
      <c r="AF163" s="615"/>
      <c r="AG163" s="610"/>
      <c r="AH163" s="611"/>
      <c r="AI163" s="611"/>
      <c r="AJ163" s="611"/>
      <c r="AK163" s="612"/>
      <c r="AL163" s="613"/>
      <c r="AM163" s="614"/>
      <c r="AN163" s="615"/>
      <c r="AO163" s="615"/>
      <c r="AP163" s="619"/>
      <c r="AQ163" s="281"/>
      <c r="AR163" s="281"/>
      <c r="AS163" s="281"/>
      <c r="AT163" s="281"/>
    </row>
    <row r="164" spans="1:46" ht="3.95" customHeight="1">
      <c r="U164" s="510"/>
      <c r="V164" s="313"/>
      <c r="W164" s="311"/>
      <c r="X164" s="311"/>
      <c r="Y164" s="311"/>
      <c r="Z164" s="311"/>
      <c r="AA164" s="298"/>
      <c r="AG164" s="298"/>
      <c r="AH164" s="298"/>
      <c r="AI164" s="298"/>
      <c r="AJ164" s="298"/>
      <c r="AK164" s="298"/>
      <c r="AM164" s="291"/>
      <c r="AN164" s="291"/>
      <c r="AO164" s="291"/>
      <c r="AP164" s="292"/>
      <c r="AQ164" s="281"/>
      <c r="AR164" s="281"/>
      <c r="AS164" s="281"/>
      <c r="AT164" s="281"/>
    </row>
    <row r="165" spans="1:46" ht="3.95" customHeight="1">
      <c r="U165" s="510"/>
      <c r="V165" s="620" t="s">
        <v>620</v>
      </c>
      <c r="W165" s="621"/>
      <c r="X165" s="621"/>
      <c r="Y165" s="621"/>
      <c r="Z165" s="621"/>
      <c r="AA165" s="622"/>
      <c r="AB165" s="613">
        <v>0</v>
      </c>
      <c r="AC165" s="614"/>
      <c r="AD165" s="615">
        <f>VLOOKUP(AB165,Base!G3:H9,2)</f>
        <v>-0.1</v>
      </c>
      <c r="AE165" s="615"/>
      <c r="AF165" s="615"/>
      <c r="AG165" s="607" t="s">
        <v>619</v>
      </c>
      <c r="AH165" s="608"/>
      <c r="AI165" s="608"/>
      <c r="AJ165" s="608"/>
      <c r="AK165" s="609"/>
      <c r="AL165" s="613">
        <v>0</v>
      </c>
      <c r="AM165" s="614"/>
      <c r="AN165" s="615">
        <f>VLOOKUP(AL165,Base!G3:H9,2)</f>
        <v>-0.1</v>
      </c>
      <c r="AO165" s="615"/>
      <c r="AP165" s="619"/>
      <c r="AQ165" s="281"/>
      <c r="AR165" s="281"/>
      <c r="AS165" s="281"/>
      <c r="AT165" s="281"/>
    </row>
    <row r="166" spans="1:46" ht="3.95" customHeight="1">
      <c r="U166" s="510"/>
      <c r="V166" s="623"/>
      <c r="W166" s="624"/>
      <c r="X166" s="624"/>
      <c r="Y166" s="624"/>
      <c r="Z166" s="624"/>
      <c r="AA166" s="625"/>
      <c r="AB166" s="613"/>
      <c r="AC166" s="614"/>
      <c r="AD166" s="615"/>
      <c r="AE166" s="615"/>
      <c r="AF166" s="615"/>
      <c r="AG166" s="610"/>
      <c r="AH166" s="611"/>
      <c r="AI166" s="611"/>
      <c r="AJ166" s="611"/>
      <c r="AK166" s="612"/>
      <c r="AL166" s="613"/>
      <c r="AM166" s="614"/>
      <c r="AN166" s="615"/>
      <c r="AO166" s="615"/>
      <c r="AP166" s="619"/>
      <c r="AQ166" s="281"/>
      <c r="AR166" s="281"/>
      <c r="AS166" s="281"/>
      <c r="AT166" s="281"/>
    </row>
    <row r="167" spans="1:46" ht="3.95" customHeight="1">
      <c r="U167" s="510"/>
      <c r="V167" s="313"/>
      <c r="W167" s="311"/>
      <c r="X167" s="311"/>
      <c r="Y167" s="311"/>
      <c r="Z167" s="311"/>
      <c r="AA167" s="298"/>
      <c r="AG167" s="298"/>
      <c r="AH167" s="298"/>
      <c r="AI167" s="298"/>
      <c r="AJ167" s="298"/>
      <c r="AK167" s="298"/>
      <c r="AM167" s="291"/>
      <c r="AN167" s="291"/>
      <c r="AO167" s="291"/>
      <c r="AP167" s="292"/>
      <c r="AQ167" s="281"/>
      <c r="AR167" s="281"/>
      <c r="AS167" s="281"/>
      <c r="AT167" s="281"/>
    </row>
    <row r="168" spans="1:46" ht="3.95" customHeight="1">
      <c r="U168" s="510"/>
      <c r="V168" s="620" t="s">
        <v>618</v>
      </c>
      <c r="W168" s="621"/>
      <c r="X168" s="621"/>
      <c r="Y168" s="621"/>
      <c r="Z168" s="621"/>
      <c r="AA168" s="622"/>
      <c r="AB168" s="613">
        <v>1</v>
      </c>
      <c r="AC168" s="614"/>
      <c r="AD168" s="615">
        <f>VLOOKUP(AB168,Base!G3:H9,2)</f>
        <v>0</v>
      </c>
      <c r="AE168" s="615"/>
      <c r="AF168" s="615"/>
      <c r="AG168" s="607" t="s">
        <v>617</v>
      </c>
      <c r="AH168" s="608"/>
      <c r="AI168" s="608"/>
      <c r="AJ168" s="608"/>
      <c r="AK168" s="609"/>
      <c r="AL168" s="613">
        <v>0</v>
      </c>
      <c r="AM168" s="614"/>
      <c r="AN168" s="615">
        <f>VLOOKUP(AL168,Base!G3:H9,2)</f>
        <v>-0.1</v>
      </c>
      <c r="AO168" s="615"/>
      <c r="AP168" s="619"/>
      <c r="AQ168" s="281"/>
      <c r="AR168" s="281"/>
      <c r="AS168" s="281"/>
      <c r="AT168" s="281"/>
    </row>
    <row r="169" spans="1:46" ht="3.95" customHeight="1">
      <c r="U169" s="510"/>
      <c r="V169" s="623"/>
      <c r="W169" s="624"/>
      <c r="X169" s="624"/>
      <c r="Y169" s="624"/>
      <c r="Z169" s="624"/>
      <c r="AA169" s="625"/>
      <c r="AB169" s="613"/>
      <c r="AC169" s="614"/>
      <c r="AD169" s="615"/>
      <c r="AE169" s="615"/>
      <c r="AF169" s="615"/>
      <c r="AG169" s="610"/>
      <c r="AH169" s="611"/>
      <c r="AI169" s="611"/>
      <c r="AJ169" s="611"/>
      <c r="AK169" s="612"/>
      <c r="AL169" s="613"/>
      <c r="AM169" s="614"/>
      <c r="AN169" s="615"/>
      <c r="AO169" s="615"/>
      <c r="AP169" s="619"/>
      <c r="AQ169" s="281"/>
      <c r="AR169" s="281"/>
      <c r="AS169" s="281"/>
      <c r="AT169" s="281"/>
    </row>
    <row r="170" spans="1:46" ht="3.95" customHeight="1">
      <c r="U170" s="510"/>
      <c r="V170" s="312"/>
      <c r="W170" s="299"/>
      <c r="X170" s="299"/>
      <c r="Y170" s="299"/>
      <c r="Z170" s="299"/>
      <c r="AA170" s="298"/>
      <c r="AG170" s="298"/>
      <c r="AH170" s="298"/>
      <c r="AI170" s="298"/>
      <c r="AJ170" s="298"/>
      <c r="AK170" s="298"/>
      <c r="AM170" s="285"/>
      <c r="AN170" s="285"/>
      <c r="AO170" s="285"/>
      <c r="AP170" s="315"/>
      <c r="AQ170" s="281"/>
      <c r="AR170" s="281"/>
      <c r="AS170" s="281"/>
      <c r="AT170" s="281"/>
    </row>
    <row r="171" spans="1:46" ht="3.95" customHeight="1">
      <c r="U171" s="510"/>
      <c r="V171" s="620" t="s">
        <v>616</v>
      </c>
      <c r="W171" s="621"/>
      <c r="X171" s="621"/>
      <c r="Y171" s="621"/>
      <c r="Z171" s="621"/>
      <c r="AA171" s="622"/>
      <c r="AB171" s="613">
        <v>0</v>
      </c>
      <c r="AC171" s="614"/>
      <c r="AD171" s="615">
        <f>VLOOKUP(AB171,Base!G3:H9,2)</f>
        <v>-0.1</v>
      </c>
      <c r="AE171" s="615"/>
      <c r="AF171" s="615"/>
      <c r="AG171" s="607" t="s">
        <v>615</v>
      </c>
      <c r="AH171" s="608"/>
      <c r="AI171" s="608"/>
      <c r="AJ171" s="608"/>
      <c r="AK171" s="609"/>
      <c r="AL171" s="613">
        <v>0</v>
      </c>
      <c r="AM171" s="614"/>
      <c r="AN171" s="615">
        <f>VLOOKUP(AL171,Base!G3:H9,2)</f>
        <v>-0.1</v>
      </c>
      <c r="AO171" s="615"/>
      <c r="AP171" s="619"/>
      <c r="AQ171" s="281"/>
      <c r="AR171" s="281"/>
      <c r="AS171" s="281"/>
      <c r="AT171" s="281"/>
    </row>
    <row r="172" spans="1:46" ht="3.75" customHeight="1">
      <c r="U172" s="510"/>
      <c r="V172" s="623"/>
      <c r="W172" s="624"/>
      <c r="X172" s="624"/>
      <c r="Y172" s="624"/>
      <c r="Z172" s="624"/>
      <c r="AA172" s="625"/>
      <c r="AB172" s="613"/>
      <c r="AC172" s="614"/>
      <c r="AD172" s="615"/>
      <c r="AE172" s="615"/>
      <c r="AF172" s="615"/>
      <c r="AG172" s="610"/>
      <c r="AH172" s="611"/>
      <c r="AI172" s="611"/>
      <c r="AJ172" s="611"/>
      <c r="AK172" s="612"/>
      <c r="AL172" s="613"/>
      <c r="AM172" s="614"/>
      <c r="AN172" s="615"/>
      <c r="AO172" s="615"/>
      <c r="AP172" s="619"/>
      <c r="AQ172" s="281"/>
      <c r="AR172" s="281"/>
      <c r="AS172" s="281"/>
      <c r="AT172" s="281"/>
    </row>
    <row r="173" spans="1:46" ht="1.5" customHeight="1">
      <c r="U173" s="510"/>
      <c r="V173" s="313"/>
      <c r="W173" s="311"/>
      <c r="X173" s="311"/>
      <c r="Y173" s="311"/>
      <c r="Z173" s="311"/>
      <c r="AA173" s="298"/>
      <c r="AG173" s="298"/>
      <c r="AH173" s="298"/>
      <c r="AI173" s="298"/>
      <c r="AJ173" s="298"/>
      <c r="AK173" s="298"/>
      <c r="AM173" s="291"/>
      <c r="AN173" s="291"/>
      <c r="AO173" s="291"/>
      <c r="AP173" s="292"/>
      <c r="AQ173" s="281"/>
      <c r="AR173" s="281"/>
      <c r="AS173" s="281"/>
      <c r="AT173" s="281"/>
    </row>
    <row r="174" spans="1:46" ht="3.95" customHeight="1">
      <c r="U174" s="510"/>
      <c r="V174" s="620" t="s">
        <v>614</v>
      </c>
      <c r="W174" s="621"/>
      <c r="X174" s="621"/>
      <c r="Y174" s="621"/>
      <c r="Z174" s="621"/>
      <c r="AA174" s="622"/>
      <c r="AB174" s="613">
        <v>0</v>
      </c>
      <c r="AC174" s="614"/>
      <c r="AD174" s="615">
        <f>VLOOKUP(AB174,Base!G3:H9,2)</f>
        <v>-0.1</v>
      </c>
      <c r="AE174" s="615"/>
      <c r="AF174" s="615"/>
      <c r="AG174" s="607" t="s">
        <v>613</v>
      </c>
      <c r="AH174" s="608"/>
      <c r="AI174" s="608"/>
      <c r="AJ174" s="608"/>
      <c r="AK174" s="609"/>
      <c r="AL174" s="613">
        <v>0</v>
      </c>
      <c r="AM174" s="614"/>
      <c r="AN174" s="615">
        <f>VLOOKUP(AL174,Base!G3:H9,2)</f>
        <v>-0.1</v>
      </c>
      <c r="AO174" s="615"/>
      <c r="AP174" s="619"/>
      <c r="AQ174" s="281"/>
      <c r="AR174" s="281"/>
      <c r="AS174" s="281"/>
      <c r="AT174" s="281"/>
    </row>
    <row r="175" spans="1:46" ht="6" customHeight="1">
      <c r="U175" s="510"/>
      <c r="V175" s="623"/>
      <c r="W175" s="624"/>
      <c r="X175" s="624"/>
      <c r="Y175" s="624"/>
      <c r="Z175" s="624"/>
      <c r="AA175" s="625"/>
      <c r="AB175" s="660"/>
      <c r="AC175" s="661"/>
      <c r="AD175" s="662"/>
      <c r="AE175" s="662"/>
      <c r="AF175" s="662"/>
      <c r="AG175" s="610"/>
      <c r="AH175" s="611"/>
      <c r="AI175" s="611"/>
      <c r="AJ175" s="611"/>
      <c r="AK175" s="612"/>
      <c r="AL175" s="660"/>
      <c r="AM175" s="661"/>
      <c r="AN175" s="662"/>
      <c r="AO175" s="662"/>
      <c r="AP175" s="663"/>
      <c r="AQ175" s="281"/>
      <c r="AR175" s="281"/>
      <c r="AS175" s="281"/>
      <c r="AT175" s="281"/>
    </row>
    <row r="176" spans="1:46" ht="3.95" customHeight="1">
      <c r="U176" s="510"/>
      <c r="V176" s="654" t="s">
        <v>612</v>
      </c>
      <c r="W176" s="654"/>
      <c r="X176" s="654"/>
      <c r="Y176" s="654"/>
      <c r="Z176" s="654"/>
      <c r="AA176" s="654"/>
      <c r="AB176" s="654"/>
      <c r="AC176" s="654"/>
      <c r="AD176" s="654"/>
      <c r="AE176" s="654"/>
      <c r="AF176" s="654"/>
      <c r="AG176" s="654"/>
      <c r="AH176" s="654"/>
      <c r="AI176" s="654"/>
      <c r="AJ176" s="654"/>
      <c r="AK176" s="654"/>
      <c r="AL176" s="654"/>
      <c r="AM176" s="654"/>
      <c r="AN176" s="654"/>
      <c r="AO176" s="654"/>
      <c r="AP176" s="655"/>
      <c r="AQ176" s="281"/>
      <c r="AR176" s="281"/>
      <c r="AS176" s="281"/>
      <c r="AT176" s="281"/>
    </row>
    <row r="177" spans="21:46" ht="3.95" customHeight="1">
      <c r="U177" s="510"/>
      <c r="V177" s="656"/>
      <c r="W177" s="656"/>
      <c r="X177" s="656"/>
      <c r="Y177" s="656"/>
      <c r="Z177" s="656"/>
      <c r="AA177" s="656"/>
      <c r="AB177" s="656"/>
      <c r="AC177" s="656"/>
      <c r="AD177" s="656"/>
      <c r="AE177" s="656"/>
      <c r="AF177" s="656"/>
      <c r="AG177" s="656"/>
      <c r="AH177" s="656"/>
      <c r="AI177" s="656"/>
      <c r="AJ177" s="656"/>
      <c r="AK177" s="656"/>
      <c r="AL177" s="656"/>
      <c r="AM177" s="656"/>
      <c r="AN177" s="656"/>
      <c r="AO177" s="656"/>
      <c r="AP177" s="657"/>
      <c r="AQ177" s="281"/>
      <c r="AR177" s="281"/>
      <c r="AS177" s="281"/>
      <c r="AT177" s="281"/>
    </row>
    <row r="178" spans="21:46" ht="3.95" customHeight="1">
      <c r="U178" s="510"/>
      <c r="V178" s="656" t="s">
        <v>611</v>
      </c>
      <c r="W178" s="656"/>
      <c r="X178" s="656"/>
      <c r="Y178" s="656"/>
      <c r="Z178" s="656"/>
      <c r="AA178" s="656"/>
      <c r="AB178" s="656"/>
      <c r="AC178" s="656"/>
      <c r="AD178" s="656"/>
      <c r="AE178" s="656"/>
      <c r="AF178" s="656"/>
      <c r="AG178" s="656"/>
      <c r="AH178" s="656"/>
      <c r="AI178" s="656"/>
      <c r="AJ178" s="656"/>
      <c r="AK178" s="656"/>
      <c r="AL178" s="656"/>
      <c r="AM178" s="656"/>
      <c r="AN178" s="656"/>
      <c r="AO178" s="656"/>
      <c r="AP178" s="657"/>
      <c r="AQ178" s="281"/>
      <c r="AR178" s="281"/>
      <c r="AS178" s="281"/>
      <c r="AT178" s="281"/>
    </row>
    <row r="179" spans="21:46" ht="3.95" customHeight="1">
      <c r="U179" s="511"/>
      <c r="V179" s="658"/>
      <c r="W179" s="658"/>
      <c r="X179" s="658"/>
      <c r="Y179" s="658"/>
      <c r="Z179" s="658"/>
      <c r="AA179" s="658"/>
      <c r="AB179" s="658"/>
      <c r="AC179" s="658"/>
      <c r="AD179" s="658"/>
      <c r="AE179" s="658"/>
      <c r="AF179" s="658"/>
      <c r="AG179" s="658"/>
      <c r="AH179" s="658"/>
      <c r="AI179" s="658"/>
      <c r="AJ179" s="658"/>
      <c r="AK179" s="658"/>
      <c r="AL179" s="658"/>
      <c r="AM179" s="658"/>
      <c r="AN179" s="658"/>
      <c r="AO179" s="658"/>
      <c r="AP179" s="659"/>
      <c r="AQ179" s="281"/>
      <c r="AR179" s="281"/>
      <c r="AS179" s="281"/>
      <c r="AT179" s="281"/>
    </row>
    <row r="180" spans="21:46" ht="3.95" customHeight="1">
      <c r="V180" s="319"/>
      <c r="W180" s="319"/>
      <c r="X180" s="319"/>
      <c r="Y180" s="319"/>
      <c r="Z180" s="319"/>
      <c r="AA180" s="319"/>
      <c r="AB180" s="319"/>
      <c r="AC180" s="319"/>
      <c r="AD180" s="319"/>
      <c r="AE180" s="319"/>
      <c r="AF180" s="319"/>
      <c r="AG180" s="319"/>
      <c r="AH180" s="319"/>
      <c r="AI180" s="319"/>
      <c r="AJ180" s="319"/>
      <c r="AK180" s="319"/>
      <c r="AL180" s="319"/>
      <c r="AM180" s="319"/>
      <c r="AN180" s="319"/>
      <c r="AO180" s="319"/>
      <c r="AP180" s="319"/>
      <c r="AQ180" s="281"/>
      <c r="AR180" s="281"/>
      <c r="AS180" s="281"/>
      <c r="AT180" s="281"/>
    </row>
    <row r="181" spans="21:46" ht="3.95" customHeight="1">
      <c r="V181" s="319"/>
      <c r="W181" s="319"/>
      <c r="X181" s="319"/>
      <c r="Y181" s="319"/>
      <c r="Z181" s="319"/>
      <c r="AA181" s="319"/>
      <c r="AB181" s="319"/>
      <c r="AC181" s="319"/>
      <c r="AD181" s="319"/>
      <c r="AE181" s="319"/>
      <c r="AF181" s="319"/>
      <c r="AG181" s="319"/>
      <c r="AH181" s="319"/>
      <c r="AI181" s="319"/>
      <c r="AJ181" s="319"/>
      <c r="AK181" s="319"/>
      <c r="AL181" s="319"/>
      <c r="AM181" s="319"/>
      <c r="AN181" s="319"/>
      <c r="AO181" s="319"/>
      <c r="AP181" s="319"/>
      <c r="AQ181" s="281"/>
      <c r="AR181" s="281"/>
      <c r="AS181" s="281"/>
      <c r="AT181" s="281"/>
    </row>
    <row r="182" spans="21:46" ht="3.95" customHeight="1">
      <c r="V182" s="280"/>
      <c r="W182" s="280"/>
      <c r="X182" s="280"/>
      <c r="Y182" s="280"/>
      <c r="Z182" s="280"/>
      <c r="AM182" s="291"/>
      <c r="AN182" s="291"/>
      <c r="AO182" s="291"/>
      <c r="AP182" s="291"/>
      <c r="AQ182" s="281"/>
      <c r="AR182" s="281"/>
      <c r="AS182" s="281"/>
      <c r="AT182" s="281"/>
    </row>
    <row r="183" spans="21:46" ht="3.95" customHeight="1">
      <c r="AQ183" s="281"/>
      <c r="AR183" s="281"/>
      <c r="AS183" s="281"/>
      <c r="AT183" s="281"/>
    </row>
    <row r="184" spans="21:46" ht="3.95" customHeight="1">
      <c r="AQ184" s="281"/>
      <c r="AR184" s="281"/>
      <c r="AS184" s="281"/>
      <c r="AT184" s="281"/>
    </row>
  </sheetData>
  <sheetProtection selectLockedCells="1"/>
  <mergeCells count="555">
    <mergeCell ref="AG102:AK103"/>
    <mergeCell ref="V165:AA166"/>
    <mergeCell ref="V168:AA169"/>
    <mergeCell ref="V171:AA172"/>
    <mergeCell ref="AL165:AM166"/>
    <mergeCell ref="AN165:AP166"/>
    <mergeCell ref="AL156:AM157"/>
    <mergeCell ref="AN156:AP157"/>
    <mergeCell ref="AL159:AM160"/>
    <mergeCell ref="AN159:AP160"/>
    <mergeCell ref="AL150:AM151"/>
    <mergeCell ref="AG156:AK157"/>
    <mergeCell ref="AG159:AK160"/>
    <mergeCell ref="AG162:AK163"/>
    <mergeCell ref="AG141:AK142"/>
    <mergeCell ref="AG144:AK145"/>
    <mergeCell ref="AG147:AK148"/>
    <mergeCell ref="AG150:AK151"/>
    <mergeCell ref="V156:AA157"/>
    <mergeCell ref="AG111:AK112"/>
    <mergeCell ref="AG129:AK130"/>
    <mergeCell ref="AG132:AK133"/>
    <mergeCell ref="AG135:AK136"/>
    <mergeCell ref="AG138:AK139"/>
    <mergeCell ref="AL174:AM175"/>
    <mergeCell ref="AN174:AP175"/>
    <mergeCell ref="AD168:AF169"/>
    <mergeCell ref="AL168:AM169"/>
    <mergeCell ref="AN168:AP169"/>
    <mergeCell ref="AL171:AM172"/>
    <mergeCell ref="AN171:AP172"/>
    <mergeCell ref="AL162:AM163"/>
    <mergeCell ref="AN162:AP163"/>
    <mergeCell ref="AG174:AK175"/>
    <mergeCell ref="AG165:AK166"/>
    <mergeCell ref="AG168:AK169"/>
    <mergeCell ref="AG171:AK172"/>
    <mergeCell ref="AL153:AM154"/>
    <mergeCell ref="AN153:AP154"/>
    <mergeCell ref="AL144:AM145"/>
    <mergeCell ref="AD144:AF145"/>
    <mergeCell ref="AG114:AK115"/>
    <mergeCell ref="AG117:AK118"/>
    <mergeCell ref="AG120:AK121"/>
    <mergeCell ref="AG123:AK124"/>
    <mergeCell ref="AG126:AK127"/>
    <mergeCell ref="AN150:AP151"/>
    <mergeCell ref="AN144:AP145"/>
    <mergeCell ref="AL147:AM148"/>
    <mergeCell ref="AN147:AP148"/>
    <mergeCell ref="AL141:AM142"/>
    <mergeCell ref="AN141:AP142"/>
    <mergeCell ref="AG153:AK154"/>
    <mergeCell ref="AL138:AM139"/>
    <mergeCell ref="AN138:AP139"/>
    <mergeCell ref="AL108:AM109"/>
    <mergeCell ref="AN108:AP109"/>
    <mergeCell ref="AL111:AM112"/>
    <mergeCell ref="AN111:AP112"/>
    <mergeCell ref="AL132:AM133"/>
    <mergeCell ref="AN132:AP133"/>
    <mergeCell ref="AL135:AM136"/>
    <mergeCell ref="AN135:AP136"/>
    <mergeCell ref="AL126:AM127"/>
    <mergeCell ref="AN126:AP127"/>
    <mergeCell ref="AL129:AM130"/>
    <mergeCell ref="AN129:AP130"/>
    <mergeCell ref="AL120:AM121"/>
    <mergeCell ref="AN120:AP121"/>
    <mergeCell ref="AL123:AM124"/>
    <mergeCell ref="AN123:AP124"/>
    <mergeCell ref="AL114:AM115"/>
    <mergeCell ref="AN114:AP115"/>
    <mergeCell ref="AL117:AM118"/>
    <mergeCell ref="AN117:AP118"/>
    <mergeCell ref="AB156:AC157"/>
    <mergeCell ref="AD156:AF157"/>
    <mergeCell ref="V176:AP177"/>
    <mergeCell ref="V178:AP179"/>
    <mergeCell ref="AB150:AC151"/>
    <mergeCell ref="AD150:AF151"/>
    <mergeCell ref="AB153:AC154"/>
    <mergeCell ref="AD153:AF154"/>
    <mergeCell ref="AB159:AC160"/>
    <mergeCell ref="AD159:AF160"/>
    <mergeCell ref="V150:AA151"/>
    <mergeCell ref="V153:AA154"/>
    <mergeCell ref="V159:AA160"/>
    <mergeCell ref="V162:AA163"/>
    <mergeCell ref="AB162:AC163"/>
    <mergeCell ref="V174:AA175"/>
    <mergeCell ref="AB171:AC172"/>
    <mergeCell ref="AD171:AF172"/>
    <mergeCell ref="AB174:AC175"/>
    <mergeCell ref="AD174:AF175"/>
    <mergeCell ref="AD162:AF163"/>
    <mergeCell ref="AB165:AC166"/>
    <mergeCell ref="AD165:AF166"/>
    <mergeCell ref="AB168:AC169"/>
    <mergeCell ref="AB147:AC148"/>
    <mergeCell ref="AD147:AF148"/>
    <mergeCell ref="AB138:AC139"/>
    <mergeCell ref="AD138:AF139"/>
    <mergeCell ref="AB141:AC142"/>
    <mergeCell ref="AD141:AF142"/>
    <mergeCell ref="AD132:AF133"/>
    <mergeCell ref="AB135:AC136"/>
    <mergeCell ref="AD135:AF136"/>
    <mergeCell ref="L148:L155"/>
    <mergeCell ref="P148:R149"/>
    <mergeCell ref="P151:R152"/>
    <mergeCell ref="P154:R155"/>
    <mergeCell ref="R145:R146"/>
    <mergeCell ref="AB132:AC133"/>
    <mergeCell ref="M148:O149"/>
    <mergeCell ref="M151:O152"/>
    <mergeCell ref="M154:O155"/>
    <mergeCell ref="P145:P146"/>
    <mergeCell ref="P139:P140"/>
    <mergeCell ref="P136:P137"/>
    <mergeCell ref="R131:R132"/>
    <mergeCell ref="P142:P143"/>
    <mergeCell ref="R133:R134"/>
    <mergeCell ref="R136:R137"/>
    <mergeCell ref="AB144:AC145"/>
    <mergeCell ref="V144:AA145"/>
    <mergeCell ref="V147:AA148"/>
    <mergeCell ref="V132:AA133"/>
    <mergeCell ref="V135:AA136"/>
    <mergeCell ref="V138:AA139"/>
    <mergeCell ref="V141:AA142"/>
    <mergeCell ref="U97:U179"/>
    <mergeCell ref="P133:P134"/>
    <mergeCell ref="M136:O137"/>
    <mergeCell ref="AB126:AC127"/>
    <mergeCell ref="AD126:AF127"/>
    <mergeCell ref="AB129:AC130"/>
    <mergeCell ref="AD129:AF130"/>
    <mergeCell ref="AB120:AC121"/>
    <mergeCell ref="AD120:AF121"/>
    <mergeCell ref="AB123:AC124"/>
    <mergeCell ref="AD123:AF124"/>
    <mergeCell ref="V120:AA121"/>
    <mergeCell ref="V123:AA124"/>
    <mergeCell ref="V126:AA127"/>
    <mergeCell ref="V129:AA130"/>
    <mergeCell ref="H160:H161"/>
    <mergeCell ref="M122:R124"/>
    <mergeCell ref="M126:R128"/>
    <mergeCell ref="L102:L128"/>
    <mergeCell ref="H145:H146"/>
    <mergeCell ref="H148:H149"/>
    <mergeCell ref="H151:H152"/>
    <mergeCell ref="H154:H155"/>
    <mergeCell ref="I151:J152"/>
    <mergeCell ref="M157:O158"/>
    <mergeCell ref="P131:P132"/>
    <mergeCell ref="L131:L146"/>
    <mergeCell ref="M145:O146"/>
    <mergeCell ref="M142:O143"/>
    <mergeCell ref="M139:O140"/>
    <mergeCell ref="M133:O134"/>
    <mergeCell ref="R139:R140"/>
    <mergeCell ref="R142:R143"/>
    <mergeCell ref="L157:L161"/>
    <mergeCell ref="P157:R161"/>
    <mergeCell ref="M102:R104"/>
    <mergeCell ref="M106:R108"/>
    <mergeCell ref="M110:R112"/>
    <mergeCell ref="M114:R116"/>
    <mergeCell ref="AA85:AC86"/>
    <mergeCell ref="AA88:AC89"/>
    <mergeCell ref="AA91:AC92"/>
    <mergeCell ref="A118:A161"/>
    <mergeCell ref="C121:E122"/>
    <mergeCell ref="B121:B122"/>
    <mergeCell ref="B124:B125"/>
    <mergeCell ref="C124:E125"/>
    <mergeCell ref="B127:B128"/>
    <mergeCell ref="B148:B149"/>
    <mergeCell ref="C127:E128"/>
    <mergeCell ref="B130:B131"/>
    <mergeCell ref="C130:E131"/>
    <mergeCell ref="I160:J161"/>
    <mergeCell ref="B157:B158"/>
    <mergeCell ref="C157:E158"/>
    <mergeCell ref="B160:B161"/>
    <mergeCell ref="C160:E161"/>
    <mergeCell ref="F136:G137"/>
    <mergeCell ref="F160:G161"/>
    <mergeCell ref="H121:H122"/>
    <mergeCell ref="H124:H125"/>
    <mergeCell ref="H127:H128"/>
    <mergeCell ref="H130:H131"/>
    <mergeCell ref="I157:J158"/>
    <mergeCell ref="F151:G152"/>
    <mergeCell ref="F154:G155"/>
    <mergeCell ref="F157:G158"/>
    <mergeCell ref="C142:E143"/>
    <mergeCell ref="I154:J155"/>
    <mergeCell ref="B151:B152"/>
    <mergeCell ref="C151:E152"/>
    <mergeCell ref="B154:B155"/>
    <mergeCell ref="C154:E155"/>
    <mergeCell ref="I145:J146"/>
    <mergeCell ref="I148:J149"/>
    <mergeCell ref="B145:B146"/>
    <mergeCell ref="C145:E146"/>
    <mergeCell ref="C148:E149"/>
    <mergeCell ref="I142:J143"/>
    <mergeCell ref="H142:H143"/>
    <mergeCell ref="H157:H158"/>
    <mergeCell ref="F142:G143"/>
    <mergeCell ref="F145:G146"/>
    <mergeCell ref="F148:G149"/>
    <mergeCell ref="B142:B143"/>
    <mergeCell ref="F127:G128"/>
    <mergeCell ref="F130:G131"/>
    <mergeCell ref="I130:J131"/>
    <mergeCell ref="I133:J134"/>
    <mergeCell ref="I136:J137"/>
    <mergeCell ref="I121:J122"/>
    <mergeCell ref="I124:J125"/>
    <mergeCell ref="F121:G122"/>
    <mergeCell ref="F124:G125"/>
    <mergeCell ref="I127:J128"/>
    <mergeCell ref="B133:B134"/>
    <mergeCell ref="C133:E134"/>
    <mergeCell ref="B136:B137"/>
    <mergeCell ref="C136:E137"/>
    <mergeCell ref="F133:G134"/>
    <mergeCell ref="I139:J140"/>
    <mergeCell ref="B139:B140"/>
    <mergeCell ref="C139:E140"/>
    <mergeCell ref="H133:H134"/>
    <mergeCell ref="H136:H137"/>
    <mergeCell ref="H139:H140"/>
    <mergeCell ref="F139:G140"/>
    <mergeCell ref="AL99:AM100"/>
    <mergeCell ref="AN99:AP100"/>
    <mergeCell ref="B118:E119"/>
    <mergeCell ref="F118:H119"/>
    <mergeCell ref="I118:J119"/>
    <mergeCell ref="AB108:AC109"/>
    <mergeCell ref="AD117:AF118"/>
    <mergeCell ref="V108:AA109"/>
    <mergeCell ref="V111:AA112"/>
    <mergeCell ref="AB117:AC118"/>
    <mergeCell ref="V99:AA100"/>
    <mergeCell ref="V102:AA103"/>
    <mergeCell ref="V105:AA106"/>
    <mergeCell ref="AB99:AC100"/>
    <mergeCell ref="L94:L100"/>
    <mergeCell ref="M118:R120"/>
    <mergeCell ref="V114:AA115"/>
    <mergeCell ref="V117:AA118"/>
    <mergeCell ref="AL102:AM103"/>
    <mergeCell ref="AN102:AP103"/>
    <mergeCell ref="AL105:AM106"/>
    <mergeCell ref="AN105:AP106"/>
    <mergeCell ref="AG105:AK106"/>
    <mergeCell ref="AG108:AK109"/>
    <mergeCell ref="A94:A116"/>
    <mergeCell ref="AB102:AC103"/>
    <mergeCell ref="AD102:AF103"/>
    <mergeCell ref="AB105:AC106"/>
    <mergeCell ref="AD105:AF106"/>
    <mergeCell ref="AD108:AF109"/>
    <mergeCell ref="AB111:AC112"/>
    <mergeCell ref="AD111:AF112"/>
    <mergeCell ref="AB114:AC115"/>
    <mergeCell ref="AD114:AF115"/>
    <mergeCell ref="B115:F116"/>
    <mergeCell ref="G94:J95"/>
    <mergeCell ref="G97:J98"/>
    <mergeCell ref="G100:J101"/>
    <mergeCell ref="G103:J104"/>
    <mergeCell ref="B106:J107"/>
    <mergeCell ref="G109:J110"/>
    <mergeCell ref="G112:J113"/>
    <mergeCell ref="G115:J116"/>
    <mergeCell ref="B103:F104"/>
    <mergeCell ref="C109:F110"/>
    <mergeCell ref="V97:AA98"/>
    <mergeCell ref="AD99:AF100"/>
    <mergeCell ref="AB97:AC98"/>
    <mergeCell ref="AN88:AP89"/>
    <mergeCell ref="AN91:AP92"/>
    <mergeCell ref="B94:F95"/>
    <mergeCell ref="B97:F98"/>
    <mergeCell ref="I88:J89"/>
    <mergeCell ref="C112:F113"/>
    <mergeCell ref="AN85:AP86"/>
    <mergeCell ref="AN64:AP65"/>
    <mergeCell ref="AN67:AP68"/>
    <mergeCell ref="AN70:AP71"/>
    <mergeCell ref="AN73:AP74"/>
    <mergeCell ref="B100:F101"/>
    <mergeCell ref="AD97:AF98"/>
    <mergeCell ref="AL97:AM98"/>
    <mergeCell ref="AN97:AP98"/>
    <mergeCell ref="AG99:AK100"/>
    <mergeCell ref="L82:P83"/>
    <mergeCell ref="AG73:AI74"/>
    <mergeCell ref="AG91:AI92"/>
    <mergeCell ref="AG79:AI80"/>
    <mergeCell ref="AG82:AI83"/>
    <mergeCell ref="AG85:AI86"/>
    <mergeCell ref="AG88:AI89"/>
    <mergeCell ref="AJ91:AM92"/>
    <mergeCell ref="AN58:AP59"/>
    <mergeCell ref="AN61:AP62"/>
    <mergeCell ref="AJ40:AM41"/>
    <mergeCell ref="AN79:AP80"/>
    <mergeCell ref="AN82:AP83"/>
    <mergeCell ref="AN40:AP41"/>
    <mergeCell ref="AN43:AP44"/>
    <mergeCell ref="AN46:AP47"/>
    <mergeCell ref="AN49:AP50"/>
    <mergeCell ref="AN52:AP53"/>
    <mergeCell ref="AN55:AP56"/>
    <mergeCell ref="AJ67:AM68"/>
    <mergeCell ref="AJ79:AM80"/>
    <mergeCell ref="AJ76:AM77"/>
    <mergeCell ref="AJ73:AM74"/>
    <mergeCell ref="AJ70:AM71"/>
    <mergeCell ref="A67:A92"/>
    <mergeCell ref="AG38:AI39"/>
    <mergeCell ref="AD38:AF39"/>
    <mergeCell ref="AA38:AC39"/>
    <mergeCell ref="V40:Z41"/>
    <mergeCell ref="V43:Z44"/>
    <mergeCell ref="V46:Z47"/>
    <mergeCell ref="V52:Z53"/>
    <mergeCell ref="V49:Z50"/>
    <mergeCell ref="I91:J92"/>
    <mergeCell ref="L85:P86"/>
    <mergeCell ref="L88:P89"/>
    <mergeCell ref="L91:P92"/>
    <mergeCell ref="A38:A65"/>
    <mergeCell ref="N46:P47"/>
    <mergeCell ref="N49:P50"/>
    <mergeCell ref="N52:P53"/>
    <mergeCell ref="N55:P56"/>
    <mergeCell ref="N58:P59"/>
    <mergeCell ref="AD82:AF83"/>
    <mergeCell ref="AD64:AF65"/>
    <mergeCell ref="AD67:AF68"/>
    <mergeCell ref="AA79:AC80"/>
    <mergeCell ref="AA82:AC83"/>
    <mergeCell ref="B88:F89"/>
    <mergeCell ref="B91:F92"/>
    <mergeCell ref="G88:H89"/>
    <mergeCell ref="G91:H92"/>
    <mergeCell ref="B64:G65"/>
    <mergeCell ref="V88:Z89"/>
    <mergeCell ref="V82:Z83"/>
    <mergeCell ref="V85:Z86"/>
    <mergeCell ref="K61:M62"/>
    <mergeCell ref="B85:F86"/>
    <mergeCell ref="H67:J68"/>
    <mergeCell ref="G79:H80"/>
    <mergeCell ref="G82:H83"/>
    <mergeCell ref="G85:H86"/>
    <mergeCell ref="I82:J83"/>
    <mergeCell ref="I85:J86"/>
    <mergeCell ref="I79:J80"/>
    <mergeCell ref="B67:G68"/>
    <mergeCell ref="B70:G71"/>
    <mergeCell ref="B73:G74"/>
    <mergeCell ref="B76:G77"/>
    <mergeCell ref="B79:F80"/>
    <mergeCell ref="V70:Z71"/>
    <mergeCell ref="V73:Z74"/>
    <mergeCell ref="B82:F83"/>
    <mergeCell ref="H38:J39"/>
    <mergeCell ref="G29:I30"/>
    <mergeCell ref="N26:R27"/>
    <mergeCell ref="B61:G62"/>
    <mergeCell ref="K43:M44"/>
    <mergeCell ref="K46:M47"/>
    <mergeCell ref="K49:M50"/>
    <mergeCell ref="K52:M53"/>
    <mergeCell ref="K55:M56"/>
    <mergeCell ref="K58:M59"/>
    <mergeCell ref="H43:J44"/>
    <mergeCell ref="H46:J47"/>
    <mergeCell ref="H49:J50"/>
    <mergeCell ref="H52:J53"/>
    <mergeCell ref="H55:J56"/>
    <mergeCell ref="H58:J59"/>
    <mergeCell ref="B49:G50"/>
    <mergeCell ref="B52:G53"/>
    <mergeCell ref="B58:G59"/>
    <mergeCell ref="G32:I33"/>
    <mergeCell ref="G35:I36"/>
    <mergeCell ref="J26:M27"/>
    <mergeCell ref="H70:J71"/>
    <mergeCell ref="B43:G44"/>
    <mergeCell ref="B46:G47"/>
    <mergeCell ref="AM18:AP20"/>
    <mergeCell ref="AF18:AG20"/>
    <mergeCell ref="AH18:AI20"/>
    <mergeCell ref="AD32:AH33"/>
    <mergeCell ref="AD35:AH36"/>
    <mergeCell ref="Y29:AC30"/>
    <mergeCell ref="AD22:AH24"/>
    <mergeCell ref="Y22:AC24"/>
    <mergeCell ref="S22:X24"/>
    <mergeCell ref="Y32:AC33"/>
    <mergeCell ref="Y35:AC36"/>
    <mergeCell ref="AD26:AH27"/>
    <mergeCell ref="AI26:AL27"/>
    <mergeCell ref="AM26:AP27"/>
    <mergeCell ref="AD29:AH30"/>
    <mergeCell ref="G22:I24"/>
    <mergeCell ref="J22:M24"/>
    <mergeCell ref="AI22:AL24"/>
    <mergeCell ref="AM22:AP24"/>
    <mergeCell ref="AA46:AC47"/>
    <mergeCell ref="AG40:AI41"/>
    <mergeCell ref="N22:R24"/>
    <mergeCell ref="H73:J74"/>
    <mergeCell ref="H76:J77"/>
    <mergeCell ref="AN38:AP39"/>
    <mergeCell ref="AJ38:AM39"/>
    <mergeCell ref="N43:P44"/>
    <mergeCell ref="AA52:AC53"/>
    <mergeCell ref="AA73:AC74"/>
    <mergeCell ref="AA67:AC68"/>
    <mergeCell ref="AA70:AC71"/>
    <mergeCell ref="V58:Z59"/>
    <mergeCell ref="AD46:AF47"/>
    <mergeCell ref="AD49:AF50"/>
    <mergeCell ref="AD40:AF41"/>
    <mergeCell ref="AD43:AF44"/>
    <mergeCell ref="AD73:AF74"/>
    <mergeCell ref="AD58:AF59"/>
    <mergeCell ref="Q55:R56"/>
    <mergeCell ref="V76:Z77"/>
    <mergeCell ref="AG43:AI44"/>
    <mergeCell ref="AG64:AI65"/>
    <mergeCell ref="AG67:AI68"/>
    <mergeCell ref="AN76:AP77"/>
    <mergeCell ref="AG76:AI77"/>
    <mergeCell ref="AG58:AI59"/>
    <mergeCell ref="AJ6:AL8"/>
    <mergeCell ref="U2:U20"/>
    <mergeCell ref="AM6:AP8"/>
    <mergeCell ref="Z14:AE20"/>
    <mergeCell ref="AF10:AG12"/>
    <mergeCell ref="AH10:AI12"/>
    <mergeCell ref="AJ10:AL12"/>
    <mergeCell ref="V14:Y16"/>
    <mergeCell ref="AH14:AI16"/>
    <mergeCell ref="AJ14:AL16"/>
    <mergeCell ref="AJ2:AL4"/>
    <mergeCell ref="AM2:AP4"/>
    <mergeCell ref="Z10:AE12"/>
    <mergeCell ref="V10:Y12"/>
    <mergeCell ref="V6:Y8"/>
    <mergeCell ref="V2:Y4"/>
    <mergeCell ref="Z2:AI4"/>
    <mergeCell ref="AH6:AI8"/>
    <mergeCell ref="Z6:AE8"/>
    <mergeCell ref="AF6:AG8"/>
    <mergeCell ref="AM10:AP12"/>
    <mergeCell ref="AM14:AP16"/>
    <mergeCell ref="AF14:AG16"/>
    <mergeCell ref="AJ18:AL20"/>
    <mergeCell ref="G26:I27"/>
    <mergeCell ref="S26:X27"/>
    <mergeCell ref="Y26:AC27"/>
    <mergeCell ref="F22:F36"/>
    <mergeCell ref="J29:M30"/>
    <mergeCell ref="N29:R30"/>
    <mergeCell ref="S29:X30"/>
    <mergeCell ref="S32:X33"/>
    <mergeCell ref="N32:R33"/>
    <mergeCell ref="J32:M33"/>
    <mergeCell ref="J35:M36"/>
    <mergeCell ref="N35:R36"/>
    <mergeCell ref="S35:X36"/>
    <mergeCell ref="AI29:AL30"/>
    <mergeCell ref="AM29:AP30"/>
    <mergeCell ref="AM32:AP33"/>
    <mergeCell ref="AM35:AP36"/>
    <mergeCell ref="AI35:AL36"/>
    <mergeCell ref="AI32:AL33"/>
    <mergeCell ref="K38:M39"/>
    <mergeCell ref="N38:P39"/>
    <mergeCell ref="Q38:R39"/>
    <mergeCell ref="U38:U95"/>
    <mergeCell ref="V93:AP95"/>
    <mergeCell ref="V91:Z92"/>
    <mergeCell ref="AA40:AC41"/>
    <mergeCell ref="AD91:AF92"/>
    <mergeCell ref="AD85:AF86"/>
    <mergeCell ref="V38:Z39"/>
    <mergeCell ref="AA76:AC77"/>
    <mergeCell ref="AA55:AC56"/>
    <mergeCell ref="AA58:AC59"/>
    <mergeCell ref="AA61:AC62"/>
    <mergeCell ref="AA64:AC65"/>
    <mergeCell ref="AA49:AC50"/>
    <mergeCell ref="V55:Z56"/>
    <mergeCell ref="AA43:AC44"/>
    <mergeCell ref="B40:G41"/>
    <mergeCell ref="H40:J41"/>
    <mergeCell ref="K40:M41"/>
    <mergeCell ref="N40:P41"/>
    <mergeCell ref="Q40:R41"/>
    <mergeCell ref="AG70:AI71"/>
    <mergeCell ref="Q58:R59"/>
    <mergeCell ref="Q61:R62"/>
    <mergeCell ref="Q64:R65"/>
    <mergeCell ref="K64:M65"/>
    <mergeCell ref="N61:P62"/>
    <mergeCell ref="N64:P65"/>
    <mergeCell ref="Q43:R44"/>
    <mergeCell ref="Q46:R47"/>
    <mergeCell ref="Q49:R50"/>
    <mergeCell ref="Q52:R53"/>
    <mergeCell ref="AD61:AF62"/>
    <mergeCell ref="AG46:AI47"/>
    <mergeCell ref="AG49:AI50"/>
    <mergeCell ref="AG52:AI53"/>
    <mergeCell ref="AG55:AI56"/>
    <mergeCell ref="H61:J62"/>
    <mergeCell ref="H64:J65"/>
    <mergeCell ref="B55:G56"/>
    <mergeCell ref="M94:R96"/>
    <mergeCell ref="M98:R100"/>
    <mergeCell ref="AJ88:AM89"/>
    <mergeCell ref="AJ85:AM86"/>
    <mergeCell ref="AJ82:AM83"/>
    <mergeCell ref="AJ43:AM44"/>
    <mergeCell ref="AJ46:AM47"/>
    <mergeCell ref="AJ49:AM50"/>
    <mergeCell ref="AJ52:AM53"/>
    <mergeCell ref="AJ64:AM65"/>
    <mergeCell ref="AJ61:AM62"/>
    <mergeCell ref="AJ58:AM59"/>
    <mergeCell ref="AJ55:AM56"/>
    <mergeCell ref="V79:Z80"/>
    <mergeCell ref="V61:Z62"/>
    <mergeCell ref="V64:Z65"/>
    <mergeCell ref="V67:Z68"/>
    <mergeCell ref="AD88:AF89"/>
    <mergeCell ref="AD70:AF71"/>
    <mergeCell ref="AD52:AF53"/>
    <mergeCell ref="AD55:AF56"/>
    <mergeCell ref="AD76:AF77"/>
    <mergeCell ref="AD79:AF80"/>
    <mergeCell ref="AG61:AI62"/>
  </mergeCells>
  <printOptions horizontalCentered="1" verticalCentered="1"/>
  <pageMargins left="0.24" right="0.23622047244094491" top="0.27559055118110237" bottom="0.27559055118110237" header="0.19685039370078741" footer="0.15748031496062992"/>
  <pageSetup paperSize="9" scale="68"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tabSelected="1" workbookViewId="0">
      <selection activeCell="U8" sqref="U8"/>
    </sheetView>
  </sheetViews>
  <sheetFormatPr baseColWidth="10" defaultColWidth="9.140625" defaultRowHeight="16.5"/>
  <cols>
    <col min="1" max="1" width="23.7109375" style="276" bestFit="1" customWidth="1"/>
    <col min="2" max="2" width="7.85546875" style="276" bestFit="1" customWidth="1"/>
    <col min="3" max="3" width="8.42578125" style="276" bestFit="1" customWidth="1"/>
    <col min="4" max="4" width="6.85546875" style="276" bestFit="1" customWidth="1"/>
    <col min="5" max="5" width="7.28515625" style="276" bestFit="1" customWidth="1"/>
    <col min="6" max="6" width="7.5703125" style="276" bestFit="1" customWidth="1"/>
    <col min="7" max="7" width="7.85546875" style="276" bestFit="1" customWidth="1"/>
    <col min="8" max="8" width="6.7109375" style="276" bestFit="1" customWidth="1"/>
    <col min="9" max="9" width="5.85546875" style="276" bestFit="1" customWidth="1"/>
    <col min="10" max="10" width="8.5703125" style="276" bestFit="1" customWidth="1"/>
    <col min="11" max="12" width="6.7109375" style="276" bestFit="1" customWidth="1"/>
    <col min="13" max="13" width="6.7109375" style="276" customWidth="1"/>
    <col min="14" max="14" width="9.28515625" style="276" customWidth="1"/>
    <col min="15" max="15" width="9.140625" style="276"/>
    <col min="16" max="16" width="5.7109375" style="276" customWidth="1"/>
    <col min="17" max="18" width="6.7109375" style="276" bestFit="1" customWidth="1"/>
    <col min="19" max="19" width="6.7109375" style="276" customWidth="1"/>
    <col min="20" max="20" width="12.7109375" style="276" bestFit="1" customWidth="1"/>
    <col min="21" max="21" width="10.7109375" style="276" bestFit="1" customWidth="1"/>
    <col min="22" max="22" width="17.7109375" style="276" bestFit="1" customWidth="1"/>
    <col min="23" max="24" width="13.28515625" style="276" bestFit="1" customWidth="1"/>
    <col min="25" max="26" width="6.7109375" style="276" bestFit="1" customWidth="1"/>
    <col min="27" max="27" width="5.85546875" style="276" bestFit="1" customWidth="1"/>
    <col min="28" max="28" width="10.85546875" style="276" customWidth="1"/>
    <col min="29" max="16384" width="9.140625" style="276"/>
  </cols>
  <sheetData>
    <row r="1" spans="1:27" ht="17.25" thickBot="1"/>
    <row r="2" spans="1:27">
      <c r="A2" s="320" t="s">
        <v>604</v>
      </c>
      <c r="B2" s="321" t="s">
        <v>602</v>
      </c>
      <c r="C2" s="321" t="s">
        <v>143</v>
      </c>
      <c r="D2" s="321" t="s">
        <v>779</v>
      </c>
      <c r="E2" s="321" t="s">
        <v>780</v>
      </c>
      <c r="F2" s="440" t="s">
        <v>811</v>
      </c>
      <c r="G2" s="440" t="s">
        <v>810</v>
      </c>
      <c r="H2" s="440" t="s">
        <v>808</v>
      </c>
      <c r="I2" s="440" t="s">
        <v>812</v>
      </c>
      <c r="J2" s="440" t="s">
        <v>809</v>
      </c>
      <c r="K2" s="322" t="s">
        <v>781</v>
      </c>
      <c r="N2" s="323"/>
      <c r="O2" s="323"/>
      <c r="P2" s="323"/>
      <c r="Q2" s="323"/>
      <c r="R2" s="323"/>
      <c r="S2" s="323"/>
      <c r="T2" s="324" t="s">
        <v>786</v>
      </c>
      <c r="U2" s="325"/>
      <c r="V2" s="326" t="s">
        <v>564</v>
      </c>
      <c r="W2" s="327" t="s">
        <v>565</v>
      </c>
    </row>
    <row r="3" spans="1:27" ht="17.25" thickBot="1">
      <c r="A3" s="330"/>
      <c r="B3" s="331" t="str">
        <f>IF(ISNA(VLOOKUP(A3,Armures,4,FALSE)),"0",(VLOOKUP(A3,Armures,4,FALSE)))</f>
        <v>0</v>
      </c>
      <c r="C3" s="331" t="str">
        <f>IF(ISNA(VLOOKUP(A3,Armures,2,FALSE)),"0",(VLOOKUP(A3,Armures,2,FALSE)))</f>
        <v>0</v>
      </c>
      <c r="D3" s="331" t="str">
        <f>IF(ISNA(VLOOKUP(A3,Armures,7,FALSE)),"0",(VLOOKUP(A3,Armures,7,FALSE)))</f>
        <v>0</v>
      </c>
      <c r="E3" s="331" t="str">
        <f>IF(ISNA(VLOOKUP(A3,Armures,8,FALSE)),"0",(VLOOKUP(A3,Armures,8,FALSE)))</f>
        <v>0</v>
      </c>
      <c r="F3" s="331" t="str">
        <f>IF(ISNA(VLOOKUP(A3,Armures,9,FALSE)),"0",(VLOOKUP(A3,Armures,9,FALSE)))</f>
        <v>0</v>
      </c>
      <c r="G3" s="331" t="str">
        <f>IF(ISNA(VLOOKUP(A3,Armures,10,FALSE)),"0",(VLOOKUP(A3,Armures,10,FALSE)))</f>
        <v>0</v>
      </c>
      <c r="H3" s="331" t="str">
        <f>IF(ISNA(VLOOKUP(A3,Armures,11,FALSE)),"0",(VLOOKUP(A3,Armures,11,FALSE)))</f>
        <v>0</v>
      </c>
      <c r="I3" s="332" t="str">
        <f>IF(ISNA(VLOOKUP(A3,Armures,11,FALSE)),"0",(VLOOKUP(A3,Armures,11,FALSE)))</f>
        <v>0</v>
      </c>
      <c r="J3" s="331" t="str">
        <f>IF(ISNA(VLOOKUP(A3,Armures,12,FALSE)),"0",(VLOOKUP(A3,Armures,12,FALSE)))</f>
        <v>0</v>
      </c>
      <c r="K3" s="333" t="str">
        <f>IF(ISNA(VLOOKUP(A3,Armures,13,FALSE)),"0",(VLOOKUP(A3,Armures,13,FALSE)))</f>
        <v>0</v>
      </c>
      <c r="N3" s="334"/>
      <c r="O3" s="334"/>
      <c r="P3" s="334"/>
      <c r="Q3" s="334"/>
      <c r="R3" s="334"/>
      <c r="S3" s="334"/>
      <c r="T3" s="335" t="s">
        <v>787</v>
      </c>
      <c r="U3" s="336" t="str">
        <f>IF(ISNA(VLOOKUP(U2,Armes,6,FALSE)),"0",(VLOOKUP(U2,Armes,6,FALSE)))</f>
        <v>0</v>
      </c>
      <c r="V3" s="337" t="s">
        <v>567</v>
      </c>
      <c r="W3" s="338" t="s">
        <v>568</v>
      </c>
    </row>
    <row r="4" spans="1:27">
      <c r="A4" s="340" t="s">
        <v>776</v>
      </c>
      <c r="B4" s="321" t="s">
        <v>602</v>
      </c>
      <c r="C4" s="321"/>
      <c r="D4" s="321"/>
      <c r="E4" s="321"/>
      <c r="F4" s="321"/>
      <c r="G4" s="321"/>
      <c r="H4" s="321"/>
      <c r="I4" s="341"/>
      <c r="J4" s="321"/>
      <c r="K4" s="322"/>
      <c r="N4" s="334"/>
      <c r="O4" s="334"/>
      <c r="P4" s="334"/>
      <c r="Q4" s="334"/>
      <c r="R4" s="334"/>
      <c r="S4" s="334"/>
      <c r="T4" s="342" t="s">
        <v>788</v>
      </c>
      <c r="U4" s="343" t="str">
        <f>IF(ISNA(VLOOKUP(U2,Armes,7,FALSE)),"0",(VLOOKUP(U2,Armes,7,FALSE)))</f>
        <v>0</v>
      </c>
      <c r="V4" s="327" t="s">
        <v>566</v>
      </c>
      <c r="W4" s="328"/>
      <c r="Z4" s="344"/>
      <c r="AA4" s="344"/>
    </row>
    <row r="5" spans="1:27" ht="17.25" thickBot="1">
      <c r="A5" s="345"/>
      <c r="B5" s="346" t="str">
        <f>IF(ISNA(VLOOKUP(A5,Armures,4,FALSE)),"0",(VLOOKUP(A5,Armures,4,FALSE)))</f>
        <v>0</v>
      </c>
      <c r="C5" s="346" t="str">
        <f>IF(ISNA(VLOOKUP(A5,Armures,2,FALSE)),"0",(VLOOKUP(A5,Armures,2,FALSE)))</f>
        <v>0</v>
      </c>
      <c r="D5" s="346" t="str">
        <f>IF(ISNA(VLOOKUP(A5,Armures,7,FALSE)),"0",(VLOOKUP(A5,Armures,7,FALSE)))</f>
        <v>0</v>
      </c>
      <c r="E5" s="346" t="str">
        <f>IF(ISNA(VLOOKUP(A5,Armures,8,FALSE)),"0",(VLOOKUP(A5,Armures,8,FALSE)))</f>
        <v>0</v>
      </c>
      <c r="F5" s="346" t="str">
        <f>IF(ISNA(VLOOKUP(A5,Armures,9,FALSE)),"0",(VLOOKUP(A5,Armures,9,FALSE)))</f>
        <v>0</v>
      </c>
      <c r="G5" s="346" t="str">
        <f>IF(ISNA(VLOOKUP(A5,Armures,10,FALSE)),"0",(VLOOKUP(A5,Armures,10,FALSE)))</f>
        <v>0</v>
      </c>
      <c r="H5" s="346" t="str">
        <f>IF(ISNA(VLOOKUP(A5,Armures,11,FALSE)),"0",(VLOOKUP(A5,Armures,11,FALSE)))</f>
        <v>0</v>
      </c>
      <c r="I5" s="347" t="str">
        <f>IF(ISNA(VLOOKUP(A5,Armures,11,FALSE)),"0",(VLOOKUP(A5,Armures,11,FALSE)))</f>
        <v>0</v>
      </c>
      <c r="J5" s="346" t="str">
        <f>IF(ISNA(VLOOKUP(A5,Armures,12,FALSE)),"0",(VLOOKUP(A5,Armures,12,FALSE)))</f>
        <v>0</v>
      </c>
      <c r="K5" s="348" t="str">
        <f>IF(ISNA(VLOOKUP(A5,Armures,13,FALSE)),"0",(VLOOKUP(A5,Armures,13,FALSE)))</f>
        <v>0</v>
      </c>
      <c r="N5" s="334"/>
      <c r="O5" s="334"/>
      <c r="P5" s="334"/>
      <c r="Q5" s="334"/>
      <c r="R5" s="334"/>
      <c r="S5" s="334"/>
      <c r="T5" s="349" t="s">
        <v>790</v>
      </c>
      <c r="U5" s="350" t="str">
        <f>IF(ISNA(VLOOKUP(U2,Armes,2,FALSE)),"0",(VLOOKUP(U2,Armes,2,FALSE)))</f>
        <v>0</v>
      </c>
      <c r="V5" s="338" t="s">
        <v>569</v>
      </c>
      <c r="W5" s="339" t="s">
        <v>789</v>
      </c>
      <c r="Z5" s="344"/>
      <c r="AA5" s="344"/>
    </row>
    <row r="6" spans="1:27">
      <c r="A6" s="320" t="s">
        <v>778</v>
      </c>
      <c r="B6" s="321" t="s">
        <v>602</v>
      </c>
      <c r="C6" s="321"/>
      <c r="D6" s="321"/>
      <c r="E6" s="321"/>
      <c r="F6" s="321"/>
      <c r="G6" s="321"/>
      <c r="H6" s="321"/>
      <c r="I6" s="341"/>
      <c r="J6" s="321"/>
      <c r="K6" s="322"/>
      <c r="N6" s="334"/>
      <c r="O6" s="334"/>
      <c r="P6" s="334"/>
      <c r="Q6" s="334"/>
      <c r="R6" s="334"/>
      <c r="S6" s="334"/>
      <c r="T6" s="351" t="s">
        <v>793</v>
      </c>
      <c r="U6" s="352" t="str">
        <f>IF(ISNA(VLOOKUP(U2,Armes,10,FALSE)),"0",(VLOOKUP(U2,Armes,10,FALSE)))</f>
        <v>0</v>
      </c>
      <c r="V6" s="344"/>
      <c r="W6" s="344"/>
      <c r="Y6" s="344"/>
      <c r="Z6" s="353"/>
      <c r="AA6" s="353"/>
    </row>
    <row r="7" spans="1:27" ht="17.25" thickBot="1">
      <c r="A7" s="345"/>
      <c r="B7" s="346" t="str">
        <f>IF(ISNA(VLOOKUP(A7,Armures,4,FALSE)),"0",(VLOOKUP(A7,Armures,4,FALSE)))</f>
        <v>0</v>
      </c>
      <c r="C7" s="346" t="str">
        <f>IF(ISNA(VLOOKUP(A7,Armures,2,FALSE)),"0",(VLOOKUP(A7,Armures,2,FALSE)))</f>
        <v>0</v>
      </c>
      <c r="D7" s="346" t="str">
        <f>IF(ISNA(VLOOKUP(A7,Armures,7,FALSE)),"0",(VLOOKUP(A7,Armures,7,FALSE)))</f>
        <v>0</v>
      </c>
      <c r="E7" s="346" t="str">
        <f>IF(ISNA(VLOOKUP(A7,Armures,8,FALSE)),"0",(VLOOKUP(A7,Armures,8,FALSE)))</f>
        <v>0</v>
      </c>
      <c r="F7" s="346" t="str">
        <f>IF(ISNA(VLOOKUP(A7,Armures,9,FALSE)),"0",(VLOOKUP(A7,Armures,9,FALSE)))</f>
        <v>0</v>
      </c>
      <c r="G7" s="346" t="str">
        <f>IF(ISNA(VLOOKUP(A7,Armures,10,FALSE)),"0",(VLOOKUP(A7,Armures,10,FALSE)))</f>
        <v>0</v>
      </c>
      <c r="H7" s="346" t="str">
        <f>IF(ISNA(VLOOKUP(A7,Armures,11,FALSE)),"0",(VLOOKUP(A7,Armures,11,FALSE)))</f>
        <v>0</v>
      </c>
      <c r="I7" s="347" t="str">
        <f>IF(ISNA(VLOOKUP(A7,Armures,11,FALSE)),"0",(VLOOKUP(A7,Armures,11,FALSE)))</f>
        <v>0</v>
      </c>
      <c r="J7" s="346" t="str">
        <f>IF(ISNA(VLOOKUP(A7,Armures,12,FALSE)),"0",(VLOOKUP(A7,Armures,12,FALSE)))</f>
        <v>0</v>
      </c>
      <c r="K7" s="348" t="str">
        <f>IF(ISNA(VLOOKUP(A7,Armures,13,FALSE)),"0",(VLOOKUP(A7,Armures,13,FALSE)))</f>
        <v>0</v>
      </c>
      <c r="N7" s="334"/>
      <c r="O7" s="334"/>
      <c r="P7" s="334"/>
      <c r="Q7" s="334"/>
      <c r="R7" s="334"/>
      <c r="S7" s="334"/>
      <c r="T7" s="354" t="s">
        <v>791</v>
      </c>
      <c r="U7" s="354" t="str">
        <f>IF(ISNA(VLOOKUP(U2,Armes,9,FALSE)),"0",(VLOOKUP(U2,Armes,9,FALSE)))</f>
        <v>0</v>
      </c>
      <c r="W7" s="344"/>
      <c r="Y7" s="344"/>
      <c r="Z7" s="344"/>
      <c r="AA7" s="344"/>
    </row>
    <row r="8" spans="1:27">
      <c r="A8" s="356" t="s">
        <v>782</v>
      </c>
      <c r="B8" s="357" t="s">
        <v>602</v>
      </c>
      <c r="C8" s="357" t="s">
        <v>783</v>
      </c>
      <c r="D8" s="357"/>
      <c r="E8" s="357"/>
      <c r="F8" s="357"/>
      <c r="G8" s="357"/>
      <c r="H8" s="357"/>
      <c r="I8" s="358"/>
      <c r="J8" s="357"/>
      <c r="K8" s="359"/>
      <c r="N8" s="334"/>
      <c r="O8" s="334"/>
      <c r="P8" s="334"/>
      <c r="Q8" s="334"/>
      <c r="R8" s="334"/>
      <c r="S8" s="334"/>
      <c r="T8" s="411" t="s">
        <v>801</v>
      </c>
      <c r="U8" s="355"/>
      <c r="V8" s="344"/>
      <c r="W8" s="344"/>
      <c r="Y8" s="329"/>
      <c r="Z8" s="344"/>
      <c r="AA8" s="344"/>
    </row>
    <row r="9" spans="1:27" ht="17.25" thickBot="1">
      <c r="A9" s="345"/>
      <c r="B9" s="346" t="str">
        <f>IF(ISNA(VLOOKUP(A9,Contenant,4,FALSE)),"0",(VLOOKUP(A9,Contenant,4,FALSE)))</f>
        <v>0</v>
      </c>
      <c r="C9" s="346" t="str">
        <f>IF(ISNA(VLOOKUP(A9,Contenant,3,FALSE)),"0",(VLOOKUP(A9,Contenant,3,FALSE)))</f>
        <v>0</v>
      </c>
      <c r="D9" s="362"/>
      <c r="E9" s="362"/>
      <c r="F9" s="362"/>
      <c r="G9" s="362"/>
      <c r="H9" s="362"/>
      <c r="I9" s="363"/>
      <c r="J9" s="362"/>
      <c r="K9" s="364"/>
      <c r="N9" s="334"/>
      <c r="O9" s="334"/>
      <c r="P9" s="334"/>
      <c r="Q9" s="334"/>
      <c r="R9" s="334"/>
      <c r="S9" s="334"/>
      <c r="T9" s="360" t="s">
        <v>792</v>
      </c>
      <c r="U9" s="361" t="str">
        <f>IF(ISNA(VLOOKUP(U2,Armes,8,FALSE)),"0",(VLOOKUP(U2,Armes,8,FALSE)))</f>
        <v>0</v>
      </c>
      <c r="V9" s="344"/>
      <c r="W9" s="344"/>
      <c r="Y9" s="353"/>
      <c r="Z9" s="353"/>
      <c r="AA9" s="353"/>
    </row>
    <row r="10" spans="1:27">
      <c r="A10" s="356" t="s">
        <v>784</v>
      </c>
      <c r="B10" s="357" t="s">
        <v>602</v>
      </c>
      <c r="C10" s="357" t="s">
        <v>783</v>
      </c>
      <c r="D10" s="357"/>
      <c r="E10" s="357"/>
      <c r="F10" s="357"/>
      <c r="G10" s="357"/>
      <c r="H10" s="357"/>
      <c r="I10" s="357"/>
      <c r="J10" s="357"/>
      <c r="K10" s="359"/>
      <c r="N10" s="334"/>
      <c r="O10" s="334"/>
      <c r="P10" s="334"/>
      <c r="Q10" s="334"/>
      <c r="R10" s="334"/>
      <c r="S10" s="334"/>
      <c r="T10" s="365" t="s">
        <v>794</v>
      </c>
      <c r="U10" s="366" t="str">
        <f>IF(ISNA(VLOOKUP(U2,Armes,11,FALSE)),"0",(VLOOKUP(U2,Armes,11,FALSE)))</f>
        <v>0</v>
      </c>
      <c r="V10" s="344"/>
      <c r="W10" s="344"/>
      <c r="Y10" s="329"/>
      <c r="Z10" s="344"/>
      <c r="AA10" s="344"/>
    </row>
    <row r="11" spans="1:27" ht="17.25" thickBot="1">
      <c r="A11" s="370"/>
      <c r="B11" s="346" t="str">
        <f>IF(ISNA(VLOOKUP(A11,Contenant,4,FALSE)),"0",(VLOOKUP(A11,Contenant,4,FALSE)))</f>
        <v>0</v>
      </c>
      <c r="C11" s="346" t="str">
        <f>IF(ISNA(VLOOKUP(A11,Contenant,3,FALSE)),"0",(VLOOKUP(A11,Contenant,3,FALSE)))</f>
        <v>0</v>
      </c>
      <c r="D11" s="362"/>
      <c r="E11" s="362"/>
      <c r="F11" s="362"/>
      <c r="G11" s="362"/>
      <c r="H11" s="362"/>
      <c r="I11" s="362"/>
      <c r="J11" s="362"/>
      <c r="K11" s="364"/>
      <c r="N11" s="334"/>
      <c r="O11" s="334"/>
      <c r="P11" s="334"/>
      <c r="Q11" s="334"/>
      <c r="R11" s="334"/>
      <c r="S11" s="334"/>
      <c r="T11" s="367" t="s">
        <v>602</v>
      </c>
      <c r="U11" s="368" t="str">
        <f>IF(ISNA(VLOOKUP(U2,Armes,4,FALSE)),"0",(VLOOKUP(U2,Armes,4,FALSE)))</f>
        <v>0</v>
      </c>
      <c r="V11" s="344"/>
      <c r="W11" s="344"/>
      <c r="Y11" s="344"/>
      <c r="Z11" s="344"/>
      <c r="AA11" s="344"/>
    </row>
    <row r="12" spans="1:27">
      <c r="A12" s="356" t="s">
        <v>785</v>
      </c>
      <c r="B12" s="357" t="s">
        <v>602</v>
      </c>
      <c r="C12" s="357" t="s">
        <v>783</v>
      </c>
      <c r="D12" s="357"/>
      <c r="E12" s="357"/>
      <c r="F12" s="357"/>
      <c r="G12" s="357"/>
      <c r="H12" s="357"/>
      <c r="I12" s="358"/>
      <c r="J12" s="357"/>
      <c r="K12" s="359"/>
      <c r="N12" s="334"/>
      <c r="O12" s="334"/>
      <c r="P12" s="334"/>
      <c r="Q12" s="334"/>
      <c r="R12" s="334"/>
      <c r="S12" s="334"/>
      <c r="T12" s="372" t="s">
        <v>795</v>
      </c>
      <c r="U12" s="373" t="s">
        <v>800</v>
      </c>
      <c r="V12" s="373" t="s">
        <v>783</v>
      </c>
      <c r="W12" s="374" t="s">
        <v>602</v>
      </c>
      <c r="Y12" s="329"/>
      <c r="Z12" s="344"/>
      <c r="AA12" s="344"/>
    </row>
    <row r="13" spans="1:27" ht="17.25" thickBot="1">
      <c r="A13" s="375"/>
      <c r="B13" s="331" t="str">
        <f>IF(ISNA(VLOOKUP(A11,Contenant,4,FALSE)),"0",(VLOOKUP(A11,Contenant,4,FALSE)))</f>
        <v>0</v>
      </c>
      <c r="C13" s="331" t="str">
        <f>IF(ISNA(VLOOKUP(A11,Contenant,4,FALSE)),"0",(VLOOKUP(A11,Contenant,4,FALSE)))</f>
        <v>0</v>
      </c>
      <c r="D13" s="376"/>
      <c r="E13" s="376"/>
      <c r="F13" s="376"/>
      <c r="G13" s="376"/>
      <c r="H13" s="376"/>
      <c r="I13" s="377"/>
      <c r="J13" s="376"/>
      <c r="K13" s="369"/>
      <c r="N13" s="334"/>
      <c r="O13" s="334"/>
      <c r="P13" s="334"/>
      <c r="Q13" s="334"/>
      <c r="R13" s="334"/>
      <c r="S13" s="334"/>
      <c r="T13" s="378" t="s">
        <v>796</v>
      </c>
      <c r="U13" s="379"/>
      <c r="V13" s="380">
        <f xml:space="preserve"> 0.1*U13</f>
        <v>0</v>
      </c>
      <c r="W13" s="381">
        <f xml:space="preserve"> 0.01 *U13</f>
        <v>0</v>
      </c>
      <c r="Y13" s="329"/>
      <c r="Z13" s="344"/>
      <c r="AA13" s="344"/>
    </row>
    <row r="14" spans="1:27">
      <c r="A14" s="382" t="s">
        <v>603</v>
      </c>
      <c r="B14" s="383" t="s">
        <v>11</v>
      </c>
      <c r="C14" s="383"/>
      <c r="D14" s="383"/>
      <c r="E14" s="383"/>
      <c r="F14" s="383"/>
      <c r="G14" s="383"/>
      <c r="H14" s="383"/>
      <c r="I14" s="384"/>
      <c r="J14" s="383"/>
      <c r="K14" s="385"/>
      <c r="N14" s="334"/>
      <c r="O14" s="334"/>
      <c r="P14" s="334"/>
      <c r="Q14" s="334"/>
      <c r="R14" s="334"/>
      <c r="S14" s="334"/>
      <c r="T14" s="378" t="s">
        <v>797</v>
      </c>
      <c r="U14" s="379"/>
      <c r="V14" s="380">
        <f xml:space="preserve"> 0.1*U14</f>
        <v>0</v>
      </c>
      <c r="W14" s="381">
        <f xml:space="preserve"> 0.01 *U14</f>
        <v>0</v>
      </c>
      <c r="Y14" s="329"/>
      <c r="Z14" s="329"/>
      <c r="AA14" s="329"/>
    </row>
    <row r="15" spans="1:27" ht="17.25" thickBot="1">
      <c r="A15" s="345" t="s">
        <v>294</v>
      </c>
      <c r="B15" s="346">
        <f>IF(ISNA(VLOOKUP(A15,Armures,4,FALSE)),"0",(VLOOKUP(A15,Armures,4,FALSE)))</f>
        <v>0.5</v>
      </c>
      <c r="C15" s="346">
        <f>IF(ISNA(VLOOKUP(A15,Armures,2,FALSE)),"0",(VLOOKUP(A15,Armures,2,FALSE)))</f>
        <v>0</v>
      </c>
      <c r="D15" s="346">
        <f>IF(ISNA(VLOOKUP(A15,Armures,7,FALSE)),"0",(VLOOKUP(A15,Armures,7,FALSE)))</f>
        <v>0</v>
      </c>
      <c r="E15" s="346">
        <f>IF(ISNA(VLOOKUP(A15,Armures,8,FALSE)),"0",(VLOOKUP(A15,Armures,8,FALSE)))</f>
        <v>0</v>
      </c>
      <c r="F15" s="346">
        <f>IF(ISNA(VLOOKUP(A15,Armures,9,FALSE)),"0",(VLOOKUP(A15,Armures,9,FALSE)))</f>
        <v>0</v>
      </c>
      <c r="G15" s="346">
        <f>IF(ISNA(VLOOKUP(A15,Armures,10,FALSE)),"0",(VLOOKUP(A15,Armures,10,FALSE)))</f>
        <v>0</v>
      </c>
      <c r="H15" s="346">
        <f>IF(ISNA(VLOOKUP(A15,Armures,11,FALSE)),"0",(VLOOKUP(A15,Armures,11,FALSE)))</f>
        <v>0</v>
      </c>
      <c r="I15" s="347">
        <f>IF(ISNA(VLOOKUP(A15,Armures,11,FALSE)),"0",(VLOOKUP(A15,Armures,11,FALSE)))</f>
        <v>0</v>
      </c>
      <c r="J15" s="346">
        <f>IF(ISNA(VLOOKUP(A15,Armures,12,FALSE)),"0",(VLOOKUP(A15,Armures,12,FALSE)))</f>
        <v>0</v>
      </c>
      <c r="K15" s="348">
        <f>IF(ISNA(VLOOKUP(A15,Armures,13,FALSE)),"0",(VLOOKUP(A15,Armures,13,FALSE)))</f>
        <v>0</v>
      </c>
      <c r="N15" s="334"/>
      <c r="O15" s="334"/>
      <c r="P15" s="334"/>
      <c r="Q15" s="334"/>
      <c r="R15" s="334"/>
      <c r="S15" s="334"/>
      <c r="T15" s="378" t="s">
        <v>799</v>
      </c>
      <c r="U15" s="379"/>
      <c r="V15" s="380">
        <f xml:space="preserve"> 0.1*U15</f>
        <v>0</v>
      </c>
      <c r="W15" s="381">
        <f xml:space="preserve"> 0.01 *U15</f>
        <v>0</v>
      </c>
      <c r="Y15" s="329"/>
      <c r="Z15" s="329"/>
      <c r="AA15" s="329"/>
    </row>
    <row r="16" spans="1:27" ht="17.25" thickBot="1">
      <c r="A16" s="356" t="s">
        <v>601</v>
      </c>
      <c r="B16" s="357" t="s">
        <v>11</v>
      </c>
      <c r="C16" s="357"/>
      <c r="D16" s="357"/>
      <c r="E16" s="357"/>
      <c r="F16" s="357"/>
      <c r="G16" s="357"/>
      <c r="H16" s="357"/>
      <c r="I16" s="358"/>
      <c r="J16" s="357"/>
      <c r="K16" s="359"/>
      <c r="N16" s="334"/>
      <c r="O16" s="334"/>
      <c r="P16" s="334"/>
      <c r="Q16" s="334"/>
      <c r="R16" s="334"/>
      <c r="S16" s="334"/>
      <c r="T16" s="386" t="s">
        <v>798</v>
      </c>
      <c r="U16" s="376"/>
      <c r="V16" s="387">
        <f>SUM(V13:V15)</f>
        <v>0</v>
      </c>
      <c r="W16" s="387">
        <f>SUM(W13:W15)</f>
        <v>0</v>
      </c>
      <c r="Y16" s="329"/>
      <c r="Z16" s="329"/>
      <c r="AA16" s="329"/>
    </row>
    <row r="17" spans="1:27" ht="17.25" thickBot="1">
      <c r="A17" s="330"/>
      <c r="B17" s="331" t="str">
        <f>IF(ISNA(VLOOKUP(A17,Divers,4,FALSE)),"0",(VLOOKUP(A17,Divers,4,FALSE)))</f>
        <v>0</v>
      </c>
      <c r="C17" s="331" t="str">
        <f>IF(ISNA(VLOOKUP(A17,Armures,2,FALSE)),"0",(VLOOKUP(A17,Armures,2,FALSE)))</f>
        <v>0</v>
      </c>
      <c r="D17" s="376"/>
      <c r="E17" s="376"/>
      <c r="F17" s="376"/>
      <c r="G17" s="376"/>
      <c r="H17" s="376"/>
      <c r="I17" s="377"/>
      <c r="J17" s="376"/>
      <c r="K17" s="369"/>
      <c r="N17" s="334"/>
      <c r="O17" s="334"/>
      <c r="P17" s="334"/>
      <c r="Q17" s="334"/>
      <c r="R17" s="334"/>
      <c r="S17" s="334"/>
      <c r="T17" s="334"/>
      <c r="U17" s="371"/>
      <c r="V17" s="329"/>
      <c r="W17" s="329"/>
      <c r="X17" s="329"/>
      <c r="Y17" s="329"/>
      <c r="Z17" s="329"/>
      <c r="AA17" s="329"/>
    </row>
    <row r="18" spans="1:27" ht="17.25" thickBot="1">
      <c r="A18" s="329"/>
      <c r="B18" s="329"/>
      <c r="C18" s="329"/>
      <c r="D18" s="329"/>
      <c r="E18" s="329"/>
      <c r="F18" s="329"/>
      <c r="G18" s="329"/>
      <c r="H18" s="329"/>
      <c r="I18" s="329"/>
      <c r="J18" s="329"/>
      <c r="K18" s="329"/>
      <c r="L18" s="329"/>
      <c r="M18" s="329"/>
      <c r="N18" s="334"/>
      <c r="O18" s="334"/>
      <c r="P18" s="334"/>
      <c r="Q18" s="334"/>
      <c r="R18" s="334"/>
      <c r="S18" s="334"/>
      <c r="T18" s="334"/>
      <c r="U18" s="344"/>
      <c r="V18" s="329"/>
      <c r="W18" s="329"/>
      <c r="X18" s="329"/>
      <c r="Y18" s="329"/>
      <c r="Z18" s="329"/>
      <c r="AA18" s="329"/>
    </row>
    <row r="19" spans="1:27" ht="17.25" thickBot="1">
      <c r="A19" s="670" t="s">
        <v>609</v>
      </c>
      <c r="B19" s="671"/>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2"/>
    </row>
    <row r="20" spans="1:27">
      <c r="A20" s="435" t="s">
        <v>606</v>
      </c>
      <c r="B20" s="388" t="s">
        <v>773</v>
      </c>
      <c r="C20" s="388" t="s">
        <v>717</v>
      </c>
      <c r="D20" s="388" t="s">
        <v>777</v>
      </c>
      <c r="E20" s="388" t="s">
        <v>610</v>
      </c>
      <c r="F20" s="389" t="s">
        <v>7</v>
      </c>
      <c r="G20" s="389" t="s">
        <v>145</v>
      </c>
      <c r="H20" s="389" t="s">
        <v>11</v>
      </c>
      <c r="I20" s="431" t="s">
        <v>807</v>
      </c>
      <c r="J20" s="390" t="s">
        <v>608</v>
      </c>
      <c r="K20" s="390" t="s">
        <v>145</v>
      </c>
      <c r="L20" s="390" t="s">
        <v>11</v>
      </c>
      <c r="M20" s="432" t="s">
        <v>807</v>
      </c>
      <c r="N20" s="669" t="s">
        <v>199</v>
      </c>
      <c r="O20" s="669"/>
      <c r="P20" s="669"/>
      <c r="Q20" s="391" t="s">
        <v>145</v>
      </c>
      <c r="R20" s="391" t="s">
        <v>11</v>
      </c>
      <c r="S20" s="433" t="s">
        <v>807</v>
      </c>
      <c r="T20" s="392" t="s">
        <v>605</v>
      </c>
      <c r="U20" s="392" t="s">
        <v>145</v>
      </c>
      <c r="V20" s="392" t="s">
        <v>11</v>
      </c>
      <c r="W20" s="434" t="s">
        <v>807</v>
      </c>
      <c r="X20" s="393" t="s">
        <v>16</v>
      </c>
      <c r="Y20" s="393" t="s">
        <v>145</v>
      </c>
      <c r="Z20" s="393" t="s">
        <v>11</v>
      </c>
      <c r="AA20" s="439" t="s">
        <v>807</v>
      </c>
    </row>
    <row r="21" spans="1:27">
      <c r="A21" s="436"/>
      <c r="B21" s="394"/>
      <c r="C21" s="394"/>
      <c r="D21" s="394"/>
      <c r="E21" s="394"/>
      <c r="F21" s="412"/>
      <c r="G21" s="395">
        <f t="shared" ref="G21:G34" si="0">IF(ISNA(VLOOKUP(F21,Armes,3,FALSE)),"0",(VLOOKUP(F21,Armes,3,FALSE)))*I21</f>
        <v>0</v>
      </c>
      <c r="H21" s="395">
        <f t="shared" ref="H21:H34" si="1">IF(ISNA(VLOOKUP(F21,Armes,4,FALSE)),"0",(VLOOKUP(F21,Armes,4,FALSE)))*I21</f>
        <v>0</v>
      </c>
      <c r="I21" s="395">
        <v>1</v>
      </c>
      <c r="J21" s="396"/>
      <c r="K21" s="396">
        <f t="shared" ref="K21:K34" si="2">IF(ISNA(VLOOKUP(J21,Armures,3,FALSE)),"0",(VLOOKUP(J21,Armures,3,FALSE)))*M21</f>
        <v>0</v>
      </c>
      <c r="L21" s="396">
        <f t="shared" ref="L21:L34" si="3">IF(ISNA(VLOOKUP(J21,Armures,4,FALSE)),"0",(VLOOKUP(J21,Armures,4,FALSE)))*M21</f>
        <v>0</v>
      </c>
      <c r="M21" s="396">
        <v>1</v>
      </c>
      <c r="N21" s="665"/>
      <c r="O21" s="665"/>
      <c r="P21" s="665"/>
      <c r="Q21" s="350">
        <f t="shared" ref="Q21:Q34" si="4">IF(ISNA(VLOOKUP(N21,Substances_Chimiques,3,FALSE)),"0",(VLOOKUP(N21,Substances_Chimiques,3,FALSE)))*S21</f>
        <v>0</v>
      </c>
      <c r="R21" s="350">
        <f t="shared" ref="R21:R34" si="5">IF(ISNA(VLOOKUP(N21,Substances_Chimiques,4,FALSE)),"0",(VLOOKUP(N21,Substances_Chimiques,4,FALSE)))*S21</f>
        <v>0</v>
      </c>
      <c r="S21" s="350">
        <v>1</v>
      </c>
      <c r="T21" s="336"/>
      <c r="U21" s="336">
        <f t="shared" ref="U21:U34" si="6">IF(ISNA(VLOOKUP(T21,Explosifs,3,FALSE)),"0",(VLOOKUP(T21,Explosifs,3,FALSE)))*W21</f>
        <v>0</v>
      </c>
      <c r="V21" s="336">
        <f t="shared" ref="V21:V34" si="7">IF(ISNA(VLOOKUP(T21,Explosifs,4,FALSE)),"0",(VLOOKUP(T21,Explosifs,4,FALSE)))*W21</f>
        <v>0</v>
      </c>
      <c r="W21" s="336">
        <v>1</v>
      </c>
      <c r="X21" s="397"/>
      <c r="Y21" s="397">
        <f t="shared" ref="Y21:Y34" si="8">IF(ISNA(VLOOKUP(X21,Divers,3,FALSE)),"0",(VLOOKUP(X21,Divers,3,FALSE)))*AA21</f>
        <v>0</v>
      </c>
      <c r="Z21" s="397">
        <f t="shared" ref="Z21:Z34" si="9">IF(ISNA(VLOOKUP(X21,Divers,4,FALSE)),"0",(VLOOKUP(X21,Divers,4,FALSE)))*AA21</f>
        <v>0</v>
      </c>
      <c r="AA21" s="437">
        <v>1</v>
      </c>
    </row>
    <row r="22" spans="1:27">
      <c r="A22" s="436"/>
      <c r="B22" s="394"/>
      <c r="C22" s="394"/>
      <c r="D22" s="394"/>
      <c r="E22" s="394"/>
      <c r="F22" s="395"/>
      <c r="G22" s="395">
        <f t="shared" si="0"/>
        <v>0</v>
      </c>
      <c r="H22" s="395">
        <f t="shared" si="1"/>
        <v>0</v>
      </c>
      <c r="I22" s="395">
        <v>1</v>
      </c>
      <c r="J22" s="396"/>
      <c r="K22" s="396">
        <f t="shared" si="2"/>
        <v>0</v>
      </c>
      <c r="L22" s="396">
        <f t="shared" si="3"/>
        <v>0</v>
      </c>
      <c r="M22" s="396">
        <v>1</v>
      </c>
      <c r="N22" s="665"/>
      <c r="O22" s="665"/>
      <c r="P22" s="665"/>
      <c r="Q22" s="350">
        <f t="shared" si="4"/>
        <v>0</v>
      </c>
      <c r="R22" s="350">
        <f t="shared" si="5"/>
        <v>0</v>
      </c>
      <c r="S22" s="350">
        <v>1</v>
      </c>
      <c r="T22" s="336"/>
      <c r="U22" s="336">
        <f t="shared" si="6"/>
        <v>0</v>
      </c>
      <c r="V22" s="336">
        <f t="shared" si="7"/>
        <v>0</v>
      </c>
      <c r="W22" s="336">
        <v>1</v>
      </c>
      <c r="X22" s="409"/>
      <c r="Y22" s="397">
        <f t="shared" si="8"/>
        <v>0</v>
      </c>
      <c r="Z22" s="397">
        <f t="shared" si="9"/>
        <v>0</v>
      </c>
      <c r="AA22" s="437">
        <v>1</v>
      </c>
    </row>
    <row r="23" spans="1:27">
      <c r="A23" s="436"/>
      <c r="B23" s="394"/>
      <c r="C23" s="394"/>
      <c r="D23" s="394"/>
      <c r="E23" s="394"/>
      <c r="F23" s="395"/>
      <c r="G23" s="395">
        <f t="shared" si="0"/>
        <v>0</v>
      </c>
      <c r="H23" s="395">
        <f t="shared" si="1"/>
        <v>0</v>
      </c>
      <c r="I23" s="395">
        <v>1</v>
      </c>
      <c r="J23" s="396"/>
      <c r="K23" s="396">
        <f t="shared" si="2"/>
        <v>0</v>
      </c>
      <c r="L23" s="396">
        <f t="shared" si="3"/>
        <v>0</v>
      </c>
      <c r="M23" s="396">
        <v>1</v>
      </c>
      <c r="N23" s="665"/>
      <c r="O23" s="665"/>
      <c r="P23" s="665"/>
      <c r="Q23" s="350">
        <f t="shared" si="4"/>
        <v>0</v>
      </c>
      <c r="R23" s="350">
        <f t="shared" si="5"/>
        <v>0</v>
      </c>
      <c r="S23" s="350">
        <v>1</v>
      </c>
      <c r="T23" s="336"/>
      <c r="U23" s="336">
        <f t="shared" si="6"/>
        <v>0</v>
      </c>
      <c r="V23" s="336">
        <f t="shared" si="7"/>
        <v>0</v>
      </c>
      <c r="W23" s="336">
        <v>1</v>
      </c>
      <c r="X23" s="410"/>
      <c r="Y23" s="397">
        <f t="shared" si="8"/>
        <v>0</v>
      </c>
      <c r="Z23" s="397">
        <f t="shared" si="9"/>
        <v>0</v>
      </c>
      <c r="AA23" s="437">
        <v>1</v>
      </c>
    </row>
    <row r="24" spans="1:27">
      <c r="A24" s="436"/>
      <c r="B24" s="394"/>
      <c r="C24" s="394"/>
      <c r="D24" s="394"/>
      <c r="E24" s="394"/>
      <c r="F24" s="395"/>
      <c r="G24" s="395">
        <f t="shared" si="0"/>
        <v>0</v>
      </c>
      <c r="H24" s="395">
        <f t="shared" si="1"/>
        <v>0</v>
      </c>
      <c r="I24" s="395">
        <v>1</v>
      </c>
      <c r="J24" s="396"/>
      <c r="K24" s="396">
        <f t="shared" si="2"/>
        <v>0</v>
      </c>
      <c r="L24" s="396">
        <f t="shared" si="3"/>
        <v>0</v>
      </c>
      <c r="M24" s="396">
        <v>1</v>
      </c>
      <c r="N24" s="665"/>
      <c r="O24" s="665"/>
      <c r="P24" s="665"/>
      <c r="Q24" s="350">
        <f t="shared" si="4"/>
        <v>0</v>
      </c>
      <c r="R24" s="350">
        <f t="shared" si="5"/>
        <v>0</v>
      </c>
      <c r="S24" s="350">
        <v>1</v>
      </c>
      <c r="T24" s="336"/>
      <c r="U24" s="336">
        <f t="shared" si="6"/>
        <v>0</v>
      </c>
      <c r="V24" s="336">
        <f t="shared" si="7"/>
        <v>0</v>
      </c>
      <c r="W24" s="336">
        <v>1</v>
      </c>
      <c r="X24" s="410"/>
      <c r="Y24" s="397">
        <f t="shared" si="8"/>
        <v>0</v>
      </c>
      <c r="Z24" s="397">
        <f t="shared" si="9"/>
        <v>0</v>
      </c>
      <c r="AA24" s="437">
        <v>1</v>
      </c>
    </row>
    <row r="25" spans="1:27">
      <c r="A25" s="436"/>
      <c r="B25" s="394"/>
      <c r="C25" s="394"/>
      <c r="D25" s="394"/>
      <c r="E25" s="394"/>
      <c r="F25" s="395"/>
      <c r="G25" s="395">
        <f t="shared" si="0"/>
        <v>0</v>
      </c>
      <c r="H25" s="395">
        <f t="shared" si="1"/>
        <v>0</v>
      </c>
      <c r="I25" s="395">
        <v>1</v>
      </c>
      <c r="J25" s="396"/>
      <c r="K25" s="396">
        <f t="shared" si="2"/>
        <v>0</v>
      </c>
      <c r="L25" s="396">
        <f t="shared" si="3"/>
        <v>0</v>
      </c>
      <c r="M25" s="396">
        <v>1</v>
      </c>
      <c r="N25" s="665"/>
      <c r="O25" s="665"/>
      <c r="P25" s="665"/>
      <c r="Q25" s="350">
        <f t="shared" si="4"/>
        <v>0</v>
      </c>
      <c r="R25" s="350">
        <f t="shared" si="5"/>
        <v>0</v>
      </c>
      <c r="S25" s="350">
        <v>1</v>
      </c>
      <c r="T25" s="336"/>
      <c r="U25" s="336">
        <f t="shared" si="6"/>
        <v>0</v>
      </c>
      <c r="V25" s="336">
        <f t="shared" si="7"/>
        <v>0</v>
      </c>
      <c r="W25" s="336">
        <v>1</v>
      </c>
      <c r="X25" s="410"/>
      <c r="Y25" s="397">
        <f t="shared" si="8"/>
        <v>0</v>
      </c>
      <c r="Z25" s="397">
        <f t="shared" si="9"/>
        <v>0</v>
      </c>
      <c r="AA25" s="437">
        <v>1</v>
      </c>
    </row>
    <row r="26" spans="1:27">
      <c r="A26" s="436"/>
      <c r="B26" s="394"/>
      <c r="C26" s="394"/>
      <c r="D26" s="394"/>
      <c r="E26" s="394"/>
      <c r="F26" s="395"/>
      <c r="G26" s="395">
        <f t="shared" si="0"/>
        <v>0</v>
      </c>
      <c r="H26" s="395">
        <f t="shared" si="1"/>
        <v>0</v>
      </c>
      <c r="I26" s="395">
        <v>1</v>
      </c>
      <c r="J26" s="396"/>
      <c r="K26" s="396">
        <f t="shared" si="2"/>
        <v>0</v>
      </c>
      <c r="L26" s="396">
        <f t="shared" si="3"/>
        <v>0</v>
      </c>
      <c r="M26" s="396">
        <v>1</v>
      </c>
      <c r="N26" s="665"/>
      <c r="O26" s="665"/>
      <c r="P26" s="665"/>
      <c r="Q26" s="350">
        <f t="shared" si="4"/>
        <v>0</v>
      </c>
      <c r="R26" s="350">
        <f t="shared" si="5"/>
        <v>0</v>
      </c>
      <c r="S26" s="350">
        <v>1</v>
      </c>
      <c r="T26" s="336"/>
      <c r="U26" s="336">
        <f t="shared" si="6"/>
        <v>0</v>
      </c>
      <c r="V26" s="336">
        <f t="shared" si="7"/>
        <v>0</v>
      </c>
      <c r="W26" s="336">
        <v>1</v>
      </c>
      <c r="X26" s="397"/>
      <c r="Y26" s="397">
        <f t="shared" si="8"/>
        <v>0</v>
      </c>
      <c r="Z26" s="397">
        <f t="shared" si="9"/>
        <v>0</v>
      </c>
      <c r="AA26" s="437">
        <v>1</v>
      </c>
    </row>
    <row r="27" spans="1:27">
      <c r="A27" s="436"/>
      <c r="B27" s="394"/>
      <c r="C27" s="394"/>
      <c r="D27" s="394"/>
      <c r="E27" s="394"/>
      <c r="F27" s="395"/>
      <c r="G27" s="395">
        <f t="shared" si="0"/>
        <v>0</v>
      </c>
      <c r="H27" s="395">
        <f t="shared" si="1"/>
        <v>0</v>
      </c>
      <c r="I27" s="395">
        <v>1</v>
      </c>
      <c r="J27" s="396"/>
      <c r="K27" s="396">
        <f t="shared" si="2"/>
        <v>0</v>
      </c>
      <c r="L27" s="396">
        <f t="shared" si="3"/>
        <v>0</v>
      </c>
      <c r="M27" s="396">
        <v>1</v>
      </c>
      <c r="N27" s="665"/>
      <c r="O27" s="665"/>
      <c r="P27" s="665"/>
      <c r="Q27" s="350">
        <f t="shared" si="4"/>
        <v>0</v>
      </c>
      <c r="R27" s="350">
        <f t="shared" si="5"/>
        <v>0</v>
      </c>
      <c r="S27" s="350">
        <v>1</v>
      </c>
      <c r="T27" s="336"/>
      <c r="U27" s="336">
        <f t="shared" si="6"/>
        <v>0</v>
      </c>
      <c r="V27" s="336">
        <f t="shared" si="7"/>
        <v>0</v>
      </c>
      <c r="W27" s="336">
        <v>1</v>
      </c>
      <c r="X27" s="410"/>
      <c r="Y27" s="397">
        <f t="shared" si="8"/>
        <v>0</v>
      </c>
      <c r="Z27" s="397">
        <f t="shared" si="9"/>
        <v>0</v>
      </c>
      <c r="AA27" s="437">
        <v>1</v>
      </c>
    </row>
    <row r="28" spans="1:27">
      <c r="A28" s="436"/>
      <c r="B28" s="394"/>
      <c r="C28" s="394"/>
      <c r="D28" s="394"/>
      <c r="E28" s="394"/>
      <c r="F28" s="395"/>
      <c r="G28" s="395">
        <f t="shared" si="0"/>
        <v>0</v>
      </c>
      <c r="H28" s="395">
        <f t="shared" si="1"/>
        <v>0</v>
      </c>
      <c r="I28" s="395">
        <v>1</v>
      </c>
      <c r="J28" s="396"/>
      <c r="K28" s="396">
        <f t="shared" si="2"/>
        <v>0</v>
      </c>
      <c r="L28" s="396">
        <f t="shared" si="3"/>
        <v>0</v>
      </c>
      <c r="M28" s="396">
        <v>1</v>
      </c>
      <c r="N28" s="665"/>
      <c r="O28" s="665"/>
      <c r="P28" s="665"/>
      <c r="Q28" s="350">
        <f t="shared" si="4"/>
        <v>0</v>
      </c>
      <c r="R28" s="350">
        <f t="shared" si="5"/>
        <v>0</v>
      </c>
      <c r="S28" s="350">
        <v>1</v>
      </c>
      <c r="T28" s="336"/>
      <c r="U28" s="336">
        <f t="shared" si="6"/>
        <v>0</v>
      </c>
      <c r="V28" s="336">
        <f t="shared" si="7"/>
        <v>0</v>
      </c>
      <c r="W28" s="336">
        <v>1</v>
      </c>
      <c r="X28" s="410"/>
      <c r="Y28" s="397">
        <f t="shared" si="8"/>
        <v>0</v>
      </c>
      <c r="Z28" s="397">
        <f t="shared" si="9"/>
        <v>0</v>
      </c>
      <c r="AA28" s="437">
        <v>1</v>
      </c>
    </row>
    <row r="29" spans="1:27">
      <c r="A29" s="436"/>
      <c r="B29" s="394"/>
      <c r="C29" s="394"/>
      <c r="D29" s="394"/>
      <c r="E29" s="394"/>
      <c r="F29" s="395"/>
      <c r="G29" s="395">
        <f t="shared" si="0"/>
        <v>0</v>
      </c>
      <c r="H29" s="395">
        <f t="shared" si="1"/>
        <v>0</v>
      </c>
      <c r="I29" s="395">
        <v>1</v>
      </c>
      <c r="J29" s="396"/>
      <c r="K29" s="396">
        <f t="shared" si="2"/>
        <v>0</v>
      </c>
      <c r="L29" s="396">
        <f t="shared" si="3"/>
        <v>0</v>
      </c>
      <c r="M29" s="396">
        <v>1</v>
      </c>
      <c r="N29" s="665"/>
      <c r="O29" s="665"/>
      <c r="P29" s="665"/>
      <c r="Q29" s="350">
        <f t="shared" si="4"/>
        <v>0</v>
      </c>
      <c r="R29" s="350">
        <f t="shared" si="5"/>
        <v>0</v>
      </c>
      <c r="S29" s="350">
        <v>1</v>
      </c>
      <c r="T29" s="336"/>
      <c r="U29" s="336">
        <f t="shared" si="6"/>
        <v>0</v>
      </c>
      <c r="V29" s="336">
        <f t="shared" si="7"/>
        <v>0</v>
      </c>
      <c r="W29" s="336">
        <v>1</v>
      </c>
      <c r="X29" s="397"/>
      <c r="Y29" s="397">
        <f t="shared" si="8"/>
        <v>0</v>
      </c>
      <c r="Z29" s="397">
        <f t="shared" si="9"/>
        <v>0</v>
      </c>
      <c r="AA29" s="437">
        <v>1</v>
      </c>
    </row>
    <row r="30" spans="1:27">
      <c r="A30" s="436"/>
      <c r="B30" s="394"/>
      <c r="C30" s="394"/>
      <c r="D30" s="394"/>
      <c r="E30" s="394"/>
      <c r="F30" s="395"/>
      <c r="G30" s="395">
        <f t="shared" si="0"/>
        <v>0</v>
      </c>
      <c r="H30" s="395">
        <f t="shared" si="1"/>
        <v>0</v>
      </c>
      <c r="I30" s="395">
        <v>1</v>
      </c>
      <c r="J30" s="396"/>
      <c r="K30" s="396">
        <f t="shared" si="2"/>
        <v>0</v>
      </c>
      <c r="L30" s="396">
        <f t="shared" si="3"/>
        <v>0</v>
      </c>
      <c r="M30" s="396">
        <v>1</v>
      </c>
      <c r="N30" s="665"/>
      <c r="O30" s="665"/>
      <c r="P30" s="665"/>
      <c r="Q30" s="350">
        <f t="shared" si="4"/>
        <v>0</v>
      </c>
      <c r="R30" s="350">
        <f t="shared" si="5"/>
        <v>0</v>
      </c>
      <c r="S30" s="350">
        <v>1</v>
      </c>
      <c r="T30" s="336"/>
      <c r="U30" s="336">
        <f t="shared" si="6"/>
        <v>0</v>
      </c>
      <c r="V30" s="336">
        <f t="shared" si="7"/>
        <v>0</v>
      </c>
      <c r="W30" s="336">
        <v>1</v>
      </c>
      <c r="X30" s="397"/>
      <c r="Y30" s="397">
        <f t="shared" si="8"/>
        <v>0</v>
      </c>
      <c r="Z30" s="397">
        <f t="shared" si="9"/>
        <v>0</v>
      </c>
      <c r="AA30" s="437">
        <v>1</v>
      </c>
    </row>
    <row r="31" spans="1:27">
      <c r="A31" s="436"/>
      <c r="B31" s="394"/>
      <c r="C31" s="394"/>
      <c r="D31" s="394"/>
      <c r="E31" s="394"/>
      <c r="F31" s="395"/>
      <c r="G31" s="395">
        <f t="shared" si="0"/>
        <v>0</v>
      </c>
      <c r="H31" s="395">
        <f t="shared" si="1"/>
        <v>0</v>
      </c>
      <c r="I31" s="395">
        <v>1</v>
      </c>
      <c r="J31" s="396"/>
      <c r="K31" s="396">
        <f t="shared" si="2"/>
        <v>0</v>
      </c>
      <c r="L31" s="396">
        <f t="shared" si="3"/>
        <v>0</v>
      </c>
      <c r="M31" s="396">
        <v>1</v>
      </c>
      <c r="N31" s="665"/>
      <c r="O31" s="665"/>
      <c r="P31" s="665"/>
      <c r="Q31" s="350">
        <f t="shared" si="4"/>
        <v>0</v>
      </c>
      <c r="R31" s="350">
        <f t="shared" si="5"/>
        <v>0</v>
      </c>
      <c r="S31" s="350">
        <v>1</v>
      </c>
      <c r="T31" s="336"/>
      <c r="U31" s="336">
        <f t="shared" si="6"/>
        <v>0</v>
      </c>
      <c r="V31" s="336">
        <f t="shared" si="7"/>
        <v>0</v>
      </c>
      <c r="W31" s="336">
        <v>1</v>
      </c>
      <c r="X31" s="397"/>
      <c r="Y31" s="397">
        <f t="shared" si="8"/>
        <v>0</v>
      </c>
      <c r="Z31" s="397">
        <f t="shared" si="9"/>
        <v>0</v>
      </c>
      <c r="AA31" s="437">
        <v>1</v>
      </c>
    </row>
    <row r="32" spans="1:27">
      <c r="A32" s="436"/>
      <c r="B32" s="394"/>
      <c r="C32" s="394"/>
      <c r="D32" s="394"/>
      <c r="E32" s="394"/>
      <c r="F32" s="395"/>
      <c r="G32" s="395">
        <f t="shared" si="0"/>
        <v>0</v>
      </c>
      <c r="H32" s="395">
        <f t="shared" si="1"/>
        <v>0</v>
      </c>
      <c r="I32" s="395">
        <v>1</v>
      </c>
      <c r="J32" s="396"/>
      <c r="K32" s="396">
        <f t="shared" si="2"/>
        <v>0</v>
      </c>
      <c r="L32" s="396">
        <f t="shared" si="3"/>
        <v>0</v>
      </c>
      <c r="M32" s="396">
        <v>1</v>
      </c>
      <c r="N32" s="665"/>
      <c r="O32" s="665"/>
      <c r="P32" s="665"/>
      <c r="Q32" s="350">
        <f t="shared" si="4"/>
        <v>0</v>
      </c>
      <c r="R32" s="350">
        <f t="shared" si="5"/>
        <v>0</v>
      </c>
      <c r="S32" s="350">
        <v>1</v>
      </c>
      <c r="T32" s="336"/>
      <c r="U32" s="336">
        <f t="shared" si="6"/>
        <v>0</v>
      </c>
      <c r="V32" s="336">
        <f t="shared" si="7"/>
        <v>0</v>
      </c>
      <c r="W32" s="336">
        <v>1</v>
      </c>
      <c r="X32" s="410"/>
      <c r="Y32" s="397">
        <f t="shared" si="8"/>
        <v>0</v>
      </c>
      <c r="Z32" s="397">
        <f t="shared" si="9"/>
        <v>0</v>
      </c>
      <c r="AA32" s="437">
        <v>1</v>
      </c>
    </row>
    <row r="33" spans="1:27">
      <c r="A33" s="436"/>
      <c r="B33" s="394"/>
      <c r="C33" s="394"/>
      <c r="D33" s="394"/>
      <c r="E33" s="394"/>
      <c r="F33" s="395"/>
      <c r="G33" s="395">
        <f t="shared" si="0"/>
        <v>0</v>
      </c>
      <c r="H33" s="395">
        <f t="shared" si="1"/>
        <v>0</v>
      </c>
      <c r="I33" s="395">
        <v>1</v>
      </c>
      <c r="J33" s="396"/>
      <c r="K33" s="396">
        <f t="shared" si="2"/>
        <v>0</v>
      </c>
      <c r="L33" s="396">
        <f t="shared" si="3"/>
        <v>0</v>
      </c>
      <c r="M33" s="396">
        <v>1</v>
      </c>
      <c r="N33" s="665"/>
      <c r="O33" s="665"/>
      <c r="P33" s="665"/>
      <c r="Q33" s="350">
        <f t="shared" si="4"/>
        <v>0</v>
      </c>
      <c r="R33" s="350">
        <f t="shared" si="5"/>
        <v>0</v>
      </c>
      <c r="S33" s="350">
        <v>1</v>
      </c>
      <c r="T33" s="336"/>
      <c r="U33" s="336">
        <f t="shared" si="6"/>
        <v>0</v>
      </c>
      <c r="V33" s="336">
        <f t="shared" si="7"/>
        <v>0</v>
      </c>
      <c r="W33" s="336">
        <v>1</v>
      </c>
      <c r="X33" s="410"/>
      <c r="Y33" s="397">
        <f t="shared" si="8"/>
        <v>0</v>
      </c>
      <c r="Z33" s="397">
        <f t="shared" si="9"/>
        <v>0</v>
      </c>
      <c r="AA33" s="437">
        <v>1</v>
      </c>
    </row>
    <row r="34" spans="1:27" ht="17.25" thickBot="1">
      <c r="A34" s="438"/>
      <c r="B34" s="398"/>
      <c r="C34" s="398"/>
      <c r="D34" s="398"/>
      <c r="E34" s="398"/>
      <c r="F34" s="399"/>
      <c r="G34" s="399">
        <f t="shared" si="0"/>
        <v>0</v>
      </c>
      <c r="H34" s="399">
        <f t="shared" si="1"/>
        <v>0</v>
      </c>
      <c r="I34" s="399">
        <v>1</v>
      </c>
      <c r="J34" s="400"/>
      <c r="K34" s="400">
        <f t="shared" si="2"/>
        <v>0</v>
      </c>
      <c r="L34" s="400">
        <f t="shared" si="3"/>
        <v>0</v>
      </c>
      <c r="M34" s="400">
        <v>1</v>
      </c>
      <c r="N34" s="668"/>
      <c r="O34" s="668"/>
      <c r="P34" s="668"/>
      <c r="Q34" s="401">
        <f t="shared" si="4"/>
        <v>0</v>
      </c>
      <c r="R34" s="401">
        <f t="shared" si="5"/>
        <v>0</v>
      </c>
      <c r="S34" s="401">
        <v>1</v>
      </c>
      <c r="T34" s="346"/>
      <c r="U34" s="346">
        <f t="shared" si="6"/>
        <v>0</v>
      </c>
      <c r="V34" s="346">
        <f t="shared" si="7"/>
        <v>0</v>
      </c>
      <c r="W34" s="346">
        <v>1</v>
      </c>
      <c r="X34" s="402"/>
      <c r="Y34" s="397">
        <f t="shared" si="8"/>
        <v>0</v>
      </c>
      <c r="Z34" s="397">
        <f t="shared" si="9"/>
        <v>0</v>
      </c>
      <c r="AA34" s="437">
        <v>1</v>
      </c>
    </row>
    <row r="35" spans="1:27">
      <c r="A35" s="403" t="s">
        <v>145</v>
      </c>
      <c r="B35" s="404">
        <f>SUM(G35,K35,Q35,U35,Y35,V16)</f>
        <v>0</v>
      </c>
      <c r="C35" s="666" t="s">
        <v>582</v>
      </c>
      <c r="D35" s="667"/>
      <c r="E35" s="404">
        <f>SUM(C9,C11,C13)+20</f>
        <v>20</v>
      </c>
      <c r="F35" s="404"/>
      <c r="G35" s="404">
        <f>SUM(G21:G34)</f>
        <v>0</v>
      </c>
      <c r="H35" s="404"/>
      <c r="I35" s="404"/>
      <c r="J35" s="404"/>
      <c r="K35" s="404">
        <f>SUM(K21:K34)</f>
        <v>0</v>
      </c>
      <c r="L35" s="404"/>
      <c r="M35" s="404"/>
      <c r="N35" s="667"/>
      <c r="O35" s="667"/>
      <c r="P35" s="667"/>
      <c r="Q35" s="404">
        <f>SUM(Q21:Q34)</f>
        <v>0</v>
      </c>
      <c r="R35" s="404"/>
      <c r="S35" s="404"/>
      <c r="T35" s="404"/>
      <c r="U35" s="404">
        <f>SUM(U21:U34)</f>
        <v>0</v>
      </c>
      <c r="V35" s="404"/>
      <c r="W35" s="404"/>
      <c r="X35" s="404"/>
      <c r="Y35" s="404">
        <f>SUM(Y21:Y34)</f>
        <v>0</v>
      </c>
      <c r="Z35" s="404"/>
      <c r="AA35" s="405"/>
    </row>
    <row r="36" spans="1:27" ht="17.25" thickBot="1">
      <c r="A36" s="406" t="s">
        <v>11</v>
      </c>
      <c r="B36" s="407">
        <f>SUM(H36,L36,R36,V36,Z36,B3,B5,B7,B9,B11,B13,B15,B17,W16)</f>
        <v>0.5</v>
      </c>
      <c r="C36" s="407">
        <f>Feuille!P148</f>
        <v>20</v>
      </c>
      <c r="D36" s="407">
        <f>Feuille!P151</f>
        <v>20</v>
      </c>
      <c r="E36" s="407">
        <f>Feuille!P154</f>
        <v>20</v>
      </c>
      <c r="F36" s="407"/>
      <c r="G36" s="407"/>
      <c r="H36" s="407">
        <f>SUM(H21:H34)</f>
        <v>0</v>
      </c>
      <c r="I36" s="407"/>
      <c r="J36" s="407"/>
      <c r="K36" s="407"/>
      <c r="L36" s="407">
        <f>SUM(L21:L34)</f>
        <v>0</v>
      </c>
      <c r="M36" s="407"/>
      <c r="N36" s="664"/>
      <c r="O36" s="664"/>
      <c r="P36" s="664"/>
      <c r="Q36" s="407"/>
      <c r="R36" s="407">
        <f>SUM(R21:R34)</f>
        <v>0</v>
      </c>
      <c r="S36" s="407"/>
      <c r="T36" s="407"/>
      <c r="U36" s="407"/>
      <c r="V36" s="407">
        <f>SUM(V21:V34)</f>
        <v>0</v>
      </c>
      <c r="W36" s="407"/>
      <c r="X36" s="407"/>
      <c r="Y36" s="407"/>
      <c r="Z36" s="407">
        <f>SUM(Z21:Z34)</f>
        <v>0</v>
      </c>
      <c r="AA36" s="408"/>
    </row>
  </sheetData>
  <dataConsolidate/>
  <mergeCells count="19">
    <mergeCell ref="A19:AA19"/>
    <mergeCell ref="N22:P22"/>
    <mergeCell ref="N20:P20"/>
    <mergeCell ref="N23:P23"/>
    <mergeCell ref="N24:P24"/>
    <mergeCell ref="N25:P25"/>
    <mergeCell ref="N21:P21"/>
    <mergeCell ref="C35:D35"/>
    <mergeCell ref="N30:P30"/>
    <mergeCell ref="N31:P31"/>
    <mergeCell ref="N32:P32"/>
    <mergeCell ref="N35:P35"/>
    <mergeCell ref="N33:P33"/>
    <mergeCell ref="N34:P34"/>
    <mergeCell ref="N36:P36"/>
    <mergeCell ref="N26:P26"/>
    <mergeCell ref="N27:P27"/>
    <mergeCell ref="N28:P28"/>
    <mergeCell ref="N29:P29"/>
  </mergeCells>
  <pageMargins left="0.7" right="0.7" top="0.75" bottom="0.75"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Armures!$A$3:$A$24</xm:f>
          </x14:formula1>
          <xm:sqref>A5</xm:sqref>
        </x14:dataValidation>
        <x14:dataValidation type="list" allowBlank="1" showInputMessage="1" showErrorMessage="1">
          <x14:formula1>
            <xm:f>Divers!$A$80:$A$82</xm:f>
          </x14:formula1>
          <xm:sqref>A9 Z6:AA6</xm:sqref>
        </x14:dataValidation>
        <x14:dataValidation type="list" allowBlank="1" showInputMessage="1" showErrorMessage="1">
          <x14:formula1>
            <xm:f>Divers!$A$78</xm:f>
          </x14:formula1>
          <xm:sqref>A11 Y9</xm:sqref>
        </x14:dataValidation>
        <x14:dataValidation type="list" allowBlank="1" showInputMessage="1" showErrorMessage="1">
          <x14:formula1>
            <xm:f>Armes!$A$3:$A$125</xm:f>
          </x14:formula1>
          <xm:sqref>F21:F34 U2</xm:sqref>
        </x14:dataValidation>
        <x14:dataValidation type="list" allowBlank="1" showInputMessage="1" showErrorMessage="1">
          <x14:formula1>
            <xm:f>'Substances Chimiques'!$A$3:$A$22</xm:f>
          </x14:formula1>
          <xm:sqref>N21:P34</xm:sqref>
        </x14:dataValidation>
        <x14:dataValidation type="list" allowBlank="1" showInputMessage="1" showErrorMessage="1">
          <x14:formula1>
            <xm:f>Explosifs!$A$3:$A$20</xm:f>
          </x14:formula1>
          <xm:sqref>T21:T34</xm:sqref>
        </x14:dataValidation>
        <x14:dataValidation type="list" allowBlank="1" showInputMessage="1" showErrorMessage="1">
          <x14:formula1>
            <xm:f>Divers!$A$79</xm:f>
          </x14:formula1>
          <xm:sqref>A13</xm:sqref>
        </x14:dataValidation>
        <x14:dataValidation type="list" allowBlank="1" showInputMessage="1" showErrorMessage="1">
          <x14:formula1>
            <xm:f>Armures!$A$25</xm:f>
          </x14:formula1>
          <xm:sqref>A3</xm:sqref>
        </x14:dataValidation>
        <x14:dataValidation type="list" allowBlank="1" showInputMessage="1" showErrorMessage="1">
          <x14:formula1>
            <xm:f>Armures!$A$3:$A$23</xm:f>
          </x14:formula1>
          <xm:sqref>J21:J34</xm:sqref>
        </x14:dataValidation>
        <x14:dataValidation type="list" allowBlank="1" showInputMessage="1" showErrorMessage="1">
          <x14:formula1>
            <xm:f>Divers!$A$3:$A$77</xm:f>
          </x14:formula1>
          <xm:sqref>X21:X34</xm:sqref>
        </x14:dataValidation>
        <x14:dataValidation type="list" allowBlank="1" showInputMessage="1" showErrorMessage="1">
          <x14:formula1>
            <xm:f>Armures!$A$28</xm:f>
          </x14:formula1>
          <xm:sqref>A7</xm:sqref>
        </x14:dataValidation>
        <x14:dataValidation type="list" allowBlank="1" showInputMessage="1" showErrorMessage="1">
          <x14:formula1>
            <xm:f>Armures!$A$26:$A$27</xm:f>
          </x14:formula1>
          <xm:sqref>A15</xm:sqref>
        </x14:dataValidation>
        <x14:dataValidation type="list" allowBlank="1" showInputMessage="1" showErrorMessage="1">
          <x14:formula1>
            <xm:f>Divers!$A$18:$A$19</xm:f>
          </x14:formula1>
          <xm:sqref>A17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12"/>
  <sheetViews>
    <sheetView workbookViewId="0">
      <selection activeCell="J45" sqref="J45"/>
    </sheetView>
  </sheetViews>
  <sheetFormatPr baseColWidth="10" defaultRowHeight="12.75"/>
  <cols>
    <col min="1" max="2" width="11.42578125" style="155"/>
    <col min="3" max="3" width="1.7109375" style="155" customWidth="1"/>
    <col min="4" max="5" width="11.42578125" style="155"/>
    <col min="6" max="6" width="1.7109375" style="155" customWidth="1"/>
    <col min="7" max="8" width="11.42578125" style="155"/>
    <col min="9" max="9" width="1.85546875" style="155" customWidth="1"/>
    <col min="10" max="10" width="14.5703125" style="155" customWidth="1"/>
    <col min="11" max="16384" width="11.42578125" style="155"/>
  </cols>
  <sheetData>
    <row r="1" spans="1:8">
      <c r="A1" s="673" t="s">
        <v>772</v>
      </c>
      <c r="B1" s="674"/>
      <c r="D1" s="673" t="s">
        <v>771</v>
      </c>
      <c r="E1" s="674"/>
      <c r="G1" s="673" t="s">
        <v>770</v>
      </c>
      <c r="H1" s="674"/>
    </row>
    <row r="2" spans="1:8">
      <c r="A2" s="172" t="s">
        <v>769</v>
      </c>
      <c r="B2" s="171" t="s">
        <v>675</v>
      </c>
      <c r="D2" s="172" t="s">
        <v>768</v>
      </c>
      <c r="E2" s="171" t="s">
        <v>730</v>
      </c>
      <c r="G2" s="170" t="s">
        <v>704</v>
      </c>
      <c r="H2" s="156" t="s">
        <v>699</v>
      </c>
    </row>
    <row r="3" spans="1:8">
      <c r="A3" s="169">
        <v>1</v>
      </c>
      <c r="B3" s="158">
        <v>5</v>
      </c>
      <c r="D3" s="169">
        <v>1</v>
      </c>
      <c r="E3" s="158">
        <v>2</v>
      </c>
      <c r="G3" s="167">
        <v>0</v>
      </c>
      <c r="H3" s="168">
        <v>-0.1</v>
      </c>
    </row>
    <row r="4" spans="1:8">
      <c r="A4" s="161">
        <v>2</v>
      </c>
      <c r="B4" s="160">
        <v>6</v>
      </c>
      <c r="D4" s="161">
        <v>2</v>
      </c>
      <c r="E4" s="160">
        <v>5</v>
      </c>
      <c r="G4" s="165">
        <v>1</v>
      </c>
      <c r="H4" s="164">
        <v>0</v>
      </c>
    </row>
    <row r="5" spans="1:8">
      <c r="A5" s="159">
        <v>3</v>
      </c>
      <c r="B5" s="158">
        <v>6</v>
      </c>
      <c r="D5" s="159">
        <v>3</v>
      </c>
      <c r="E5" s="158">
        <v>5</v>
      </c>
      <c r="G5" s="167">
        <v>2</v>
      </c>
      <c r="H5" s="166">
        <v>0.05</v>
      </c>
    </row>
    <row r="6" spans="1:8">
      <c r="A6" s="161">
        <v>4</v>
      </c>
      <c r="B6" s="160">
        <v>7</v>
      </c>
      <c r="D6" s="161">
        <v>4</v>
      </c>
      <c r="E6" s="160">
        <v>10</v>
      </c>
      <c r="G6" s="165">
        <v>3</v>
      </c>
      <c r="H6" s="164">
        <v>0.1</v>
      </c>
    </row>
    <row r="7" spans="1:8">
      <c r="A7" s="159">
        <v>5</v>
      </c>
      <c r="B7" s="158">
        <v>7</v>
      </c>
      <c r="D7" s="159">
        <v>5</v>
      </c>
      <c r="E7" s="158">
        <v>10</v>
      </c>
      <c r="G7" s="167">
        <v>4</v>
      </c>
      <c r="H7" s="166">
        <v>0.2</v>
      </c>
    </row>
    <row r="8" spans="1:8">
      <c r="A8" s="161">
        <v>6</v>
      </c>
      <c r="B8" s="160">
        <v>8</v>
      </c>
      <c r="D8" s="161">
        <v>6</v>
      </c>
      <c r="E8" s="160">
        <v>20</v>
      </c>
      <c r="G8" s="165">
        <v>5</v>
      </c>
      <c r="H8" s="164">
        <v>0.4</v>
      </c>
    </row>
    <row r="9" spans="1:8">
      <c r="A9" s="159">
        <v>7</v>
      </c>
      <c r="B9" s="158">
        <v>8</v>
      </c>
      <c r="D9" s="159">
        <v>7</v>
      </c>
      <c r="E9" s="158">
        <v>20</v>
      </c>
      <c r="G9" s="163">
        <v>6</v>
      </c>
      <c r="H9" s="162">
        <v>0.6</v>
      </c>
    </row>
    <row r="10" spans="1:8">
      <c r="A10" s="161">
        <v>8</v>
      </c>
      <c r="B10" s="160">
        <v>9</v>
      </c>
      <c r="D10" s="161">
        <v>8</v>
      </c>
      <c r="E10" s="160">
        <v>40</v>
      </c>
    </row>
    <row r="11" spans="1:8">
      <c r="A11" s="159">
        <v>9</v>
      </c>
      <c r="B11" s="158">
        <v>9</v>
      </c>
      <c r="D11" s="159">
        <v>9</v>
      </c>
      <c r="E11" s="158">
        <v>40</v>
      </c>
    </row>
    <row r="12" spans="1:8">
      <c r="A12" s="157">
        <v>10</v>
      </c>
      <c r="B12" s="156">
        <v>10</v>
      </c>
      <c r="D12" s="157">
        <v>10</v>
      </c>
      <c r="E12" s="156">
        <v>60</v>
      </c>
    </row>
  </sheetData>
  <mergeCells count="3">
    <mergeCell ref="A1:B1"/>
    <mergeCell ref="D1:E1"/>
    <mergeCell ref="G1:H1"/>
  </mergeCells>
  <pageMargins left="0.78740157499999996" right="0.78740157499999996" top="0.984251969" bottom="0.984251969" header="0.4921259845" footer="0.492125984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6"/>
  <sheetViews>
    <sheetView topLeftCell="A52" zoomScaleNormal="100" workbookViewId="0">
      <selection activeCell="A75" sqref="A75"/>
    </sheetView>
  </sheetViews>
  <sheetFormatPr baseColWidth="10" defaultRowHeight="15"/>
  <cols>
    <col min="1" max="1" width="31.5703125" style="29" bestFit="1" customWidth="1"/>
    <col min="2" max="2" width="10.140625" style="29" bestFit="1" customWidth="1"/>
    <col min="3" max="3" width="5.7109375" style="34" bestFit="1" customWidth="1"/>
    <col min="4" max="4" width="5.85546875" style="34" bestFit="1" customWidth="1"/>
    <col min="5" max="5" width="6" style="32" bestFit="1" customWidth="1"/>
    <col min="6" max="6" width="7.5703125" style="32" bestFit="1" customWidth="1"/>
    <col min="7" max="7" width="26.7109375" style="29" bestFit="1" customWidth="1"/>
    <col min="8" max="8" width="10.5703125" style="30" bestFit="1" customWidth="1"/>
    <col min="9" max="9" width="8.7109375" style="31" bestFit="1" customWidth="1"/>
    <col min="10" max="10" width="14.5703125" style="32" bestFit="1" customWidth="1"/>
    <col min="11" max="11" width="13.5703125" style="32" bestFit="1" customWidth="1"/>
    <col min="12" max="12" width="9.85546875" style="33" bestFit="1" customWidth="1"/>
    <col min="13" max="13" width="11.42578125" style="32" bestFit="1" customWidth="1"/>
    <col min="14" max="14" width="13.28515625" style="29" bestFit="1" customWidth="1"/>
    <col min="15" max="15" width="17.7109375" style="29" bestFit="1" customWidth="1"/>
    <col min="16" max="16" width="47.42578125" style="29" bestFit="1" customWidth="1"/>
    <col min="17" max="17" width="8.5703125" style="29" customWidth="1"/>
    <col min="18" max="18" width="9.28515625" style="29" customWidth="1"/>
    <col min="25" max="16384" width="11.42578125" style="29"/>
  </cols>
  <sheetData>
    <row r="1" spans="1:24" ht="17.25" customHeight="1" thickBot="1">
      <c r="A1" s="27"/>
      <c r="B1" s="28"/>
      <c r="C1" s="29"/>
      <c r="D1" s="29"/>
      <c r="E1" s="29"/>
      <c r="F1" s="29"/>
      <c r="H1" s="29"/>
      <c r="I1" s="29"/>
      <c r="J1" s="29"/>
      <c r="K1" s="29"/>
      <c r="L1" s="29"/>
      <c r="M1" s="29"/>
    </row>
    <row r="2" spans="1:24" ht="25.5" customHeight="1" thickBot="1">
      <c r="A2" s="173" t="s">
        <v>6</v>
      </c>
      <c r="B2" s="174" t="s">
        <v>8</v>
      </c>
      <c r="C2" s="175" t="s">
        <v>145</v>
      </c>
      <c r="D2" s="176" t="s">
        <v>11</v>
      </c>
      <c r="E2" s="177" t="s">
        <v>13</v>
      </c>
      <c r="F2" s="178" t="s">
        <v>563</v>
      </c>
      <c r="G2" s="179" t="s">
        <v>12</v>
      </c>
      <c r="H2" s="180" t="s">
        <v>38</v>
      </c>
      <c r="I2" s="181" t="s">
        <v>9</v>
      </c>
      <c r="J2" s="182" t="s">
        <v>10</v>
      </c>
      <c r="K2" s="183" t="s">
        <v>434</v>
      </c>
      <c r="L2" s="184" t="s">
        <v>433</v>
      </c>
      <c r="M2" s="40" t="s">
        <v>564</v>
      </c>
      <c r="N2" s="41" t="s">
        <v>565</v>
      </c>
      <c r="O2" s="41" t="s">
        <v>566</v>
      </c>
      <c r="P2" s="278"/>
      <c r="Q2"/>
      <c r="R2"/>
      <c r="W2" s="29"/>
      <c r="X2" s="29"/>
    </row>
    <row r="3" spans="1:24" ht="16.5" thickBot="1">
      <c r="A3" s="137" t="s">
        <v>438</v>
      </c>
      <c r="B3" s="138" t="s">
        <v>20</v>
      </c>
      <c r="C3" s="144">
        <v>1</v>
      </c>
      <c r="D3" s="145">
        <v>1</v>
      </c>
      <c r="E3" s="146">
        <v>800</v>
      </c>
      <c r="F3" s="147" t="s">
        <v>571</v>
      </c>
      <c r="G3" s="139" t="s">
        <v>27</v>
      </c>
      <c r="H3" s="140">
        <v>80</v>
      </c>
      <c r="I3" s="141">
        <v>15</v>
      </c>
      <c r="J3" s="142">
        <v>1</v>
      </c>
      <c r="K3" s="143" t="s">
        <v>436</v>
      </c>
      <c r="L3" s="185">
        <v>2</v>
      </c>
      <c r="M3" s="42" t="s">
        <v>567</v>
      </c>
      <c r="N3" s="43" t="s">
        <v>568</v>
      </c>
      <c r="O3" s="43" t="s">
        <v>569</v>
      </c>
      <c r="P3" s="277" t="s">
        <v>570</v>
      </c>
      <c r="Q3"/>
      <c r="R3"/>
      <c r="W3" s="29"/>
      <c r="X3" s="29"/>
    </row>
    <row r="4" spans="1:24">
      <c r="A4" s="148" t="s">
        <v>0</v>
      </c>
      <c r="B4" s="128" t="s">
        <v>20</v>
      </c>
      <c r="C4" s="134">
        <v>1</v>
      </c>
      <c r="D4" s="135">
        <v>1</v>
      </c>
      <c r="E4" s="136">
        <v>800</v>
      </c>
      <c r="F4" s="38" t="s">
        <v>571</v>
      </c>
      <c r="G4" s="129" t="s">
        <v>439</v>
      </c>
      <c r="H4" s="130">
        <v>70</v>
      </c>
      <c r="I4" s="131">
        <v>13</v>
      </c>
      <c r="J4" s="132">
        <v>1</v>
      </c>
      <c r="K4" s="133" t="s">
        <v>436</v>
      </c>
      <c r="L4" s="186">
        <v>2</v>
      </c>
      <c r="M4" s="29"/>
    </row>
    <row r="5" spans="1:24">
      <c r="A5" s="148" t="s">
        <v>1</v>
      </c>
      <c r="B5" s="128" t="s">
        <v>376</v>
      </c>
      <c r="C5" s="134">
        <v>1</v>
      </c>
      <c r="D5" s="135">
        <v>1</v>
      </c>
      <c r="E5" s="136">
        <v>1000</v>
      </c>
      <c r="F5" s="38" t="s">
        <v>571</v>
      </c>
      <c r="G5" s="129" t="s">
        <v>440</v>
      </c>
      <c r="H5" s="130">
        <v>70</v>
      </c>
      <c r="I5" s="131">
        <v>13</v>
      </c>
      <c r="J5" s="132">
        <v>1</v>
      </c>
      <c r="K5" s="133" t="s">
        <v>436</v>
      </c>
      <c r="L5" s="186">
        <v>3</v>
      </c>
      <c r="M5" s="29"/>
    </row>
    <row r="6" spans="1:24">
      <c r="A6" s="148" t="s">
        <v>2</v>
      </c>
      <c r="B6" s="128" t="s">
        <v>21</v>
      </c>
      <c r="C6" s="134">
        <v>1</v>
      </c>
      <c r="D6" s="135">
        <v>1</v>
      </c>
      <c r="E6" s="136">
        <v>450</v>
      </c>
      <c r="F6" s="38" t="s">
        <v>571</v>
      </c>
      <c r="G6" s="129" t="s">
        <v>28</v>
      </c>
      <c r="H6" s="130">
        <v>70</v>
      </c>
      <c r="I6" s="131">
        <v>12</v>
      </c>
      <c r="J6" s="132">
        <v>1</v>
      </c>
      <c r="K6" s="133" t="s">
        <v>437</v>
      </c>
      <c r="L6" s="186">
        <v>2</v>
      </c>
      <c r="M6" s="29"/>
    </row>
    <row r="7" spans="1:24">
      <c r="A7" s="148" t="s">
        <v>3</v>
      </c>
      <c r="B7" s="128" t="s">
        <v>377</v>
      </c>
      <c r="C7" s="134">
        <v>1</v>
      </c>
      <c r="D7" s="135">
        <v>1.5</v>
      </c>
      <c r="E7" s="136">
        <v>1700</v>
      </c>
      <c r="F7" s="38" t="s">
        <v>571</v>
      </c>
      <c r="G7" s="129" t="s">
        <v>29</v>
      </c>
      <c r="H7" s="130">
        <v>150</v>
      </c>
      <c r="I7" s="131">
        <v>8</v>
      </c>
      <c r="J7" s="132">
        <v>1</v>
      </c>
      <c r="K7" s="133" t="s">
        <v>437</v>
      </c>
      <c r="L7" s="186">
        <v>3</v>
      </c>
      <c r="M7" s="29"/>
    </row>
    <row r="8" spans="1:24">
      <c r="A8" s="148" t="s">
        <v>391</v>
      </c>
      <c r="B8" s="128" t="s">
        <v>20</v>
      </c>
      <c r="C8" s="134">
        <v>1</v>
      </c>
      <c r="D8" s="135">
        <v>1</v>
      </c>
      <c r="E8" s="136">
        <v>700</v>
      </c>
      <c r="F8" s="38" t="s">
        <v>571</v>
      </c>
      <c r="G8" s="129" t="s">
        <v>30</v>
      </c>
      <c r="H8" s="130">
        <v>60</v>
      </c>
      <c r="I8" s="131">
        <v>7</v>
      </c>
      <c r="J8" s="132">
        <v>1</v>
      </c>
      <c r="K8" s="133" t="s">
        <v>436</v>
      </c>
      <c r="L8" s="186">
        <v>2</v>
      </c>
      <c r="M8" s="29"/>
    </row>
    <row r="9" spans="1:24">
      <c r="A9" s="148" t="s">
        <v>4</v>
      </c>
      <c r="B9" s="128" t="s">
        <v>20</v>
      </c>
      <c r="C9" s="134">
        <v>1</v>
      </c>
      <c r="D9" s="135">
        <v>1</v>
      </c>
      <c r="E9" s="136">
        <v>300</v>
      </c>
      <c r="F9" s="38" t="s">
        <v>571</v>
      </c>
      <c r="G9" s="129" t="s">
        <v>435</v>
      </c>
      <c r="H9" s="130">
        <v>80</v>
      </c>
      <c r="I9" s="131">
        <v>8</v>
      </c>
      <c r="J9" s="132">
        <v>1</v>
      </c>
      <c r="K9" s="133" t="s">
        <v>436</v>
      </c>
      <c r="L9" s="186">
        <v>2</v>
      </c>
      <c r="M9" s="29"/>
    </row>
    <row r="10" spans="1:24">
      <c r="A10" s="148" t="s">
        <v>5</v>
      </c>
      <c r="B10" s="128" t="s">
        <v>22</v>
      </c>
      <c r="C10" s="134">
        <v>1</v>
      </c>
      <c r="D10" s="135">
        <v>2</v>
      </c>
      <c r="E10" s="136">
        <v>2500</v>
      </c>
      <c r="F10" s="38" t="s">
        <v>571</v>
      </c>
      <c r="G10" s="129" t="s">
        <v>32</v>
      </c>
      <c r="H10" s="130">
        <v>120</v>
      </c>
      <c r="I10" s="131">
        <v>6</v>
      </c>
      <c r="J10" s="132">
        <v>1</v>
      </c>
      <c r="K10" s="133" t="s">
        <v>437</v>
      </c>
      <c r="L10" s="186">
        <v>3</v>
      </c>
      <c r="M10" s="29"/>
    </row>
    <row r="11" spans="1:24" ht="15.75" thickBot="1">
      <c r="A11" s="151" t="s">
        <v>441</v>
      </c>
      <c r="B11" s="152" t="s">
        <v>442</v>
      </c>
      <c r="C11" s="187">
        <v>1</v>
      </c>
      <c r="D11" s="188">
        <v>1</v>
      </c>
      <c r="E11" s="189">
        <v>3500</v>
      </c>
      <c r="F11" s="37" t="s">
        <v>571</v>
      </c>
      <c r="G11" s="153" t="s">
        <v>32</v>
      </c>
      <c r="H11" s="190">
        <v>120</v>
      </c>
      <c r="I11" s="191">
        <v>5</v>
      </c>
      <c r="J11" s="192">
        <v>1</v>
      </c>
      <c r="K11" s="193" t="s">
        <v>436</v>
      </c>
      <c r="L11" s="194">
        <v>3</v>
      </c>
      <c r="M11" s="29"/>
    </row>
    <row r="12" spans="1:24">
      <c r="A12" s="137" t="s">
        <v>392</v>
      </c>
      <c r="B12" s="138" t="s">
        <v>376</v>
      </c>
      <c r="C12" s="144">
        <v>1</v>
      </c>
      <c r="D12" s="145">
        <v>1</v>
      </c>
      <c r="E12" s="146">
        <v>2000</v>
      </c>
      <c r="F12" s="147" t="s">
        <v>571</v>
      </c>
      <c r="G12" s="139" t="s">
        <v>444</v>
      </c>
      <c r="H12" s="140">
        <v>100</v>
      </c>
      <c r="I12" s="141">
        <v>6</v>
      </c>
      <c r="J12" s="142">
        <v>1</v>
      </c>
      <c r="K12" s="143" t="s">
        <v>437</v>
      </c>
      <c r="L12" s="185">
        <v>3</v>
      </c>
      <c r="M12" s="29"/>
    </row>
    <row r="13" spans="1:24">
      <c r="A13" s="148" t="s">
        <v>443</v>
      </c>
      <c r="B13" s="128" t="s">
        <v>377</v>
      </c>
      <c r="C13" s="134">
        <v>1</v>
      </c>
      <c r="D13" s="135">
        <v>1</v>
      </c>
      <c r="E13" s="136">
        <v>1500</v>
      </c>
      <c r="F13" s="38" t="s">
        <v>571</v>
      </c>
      <c r="G13" s="129" t="s">
        <v>33</v>
      </c>
      <c r="H13" s="130">
        <v>80</v>
      </c>
      <c r="I13" s="131">
        <v>6</v>
      </c>
      <c r="J13" s="132">
        <v>1</v>
      </c>
      <c r="K13" s="133" t="s">
        <v>436</v>
      </c>
      <c r="L13" s="186">
        <v>3</v>
      </c>
      <c r="M13" s="29"/>
    </row>
    <row r="14" spans="1:24" ht="15.75" thickBot="1">
      <c r="A14" s="151" t="s">
        <v>393</v>
      </c>
      <c r="B14" s="152" t="s">
        <v>377</v>
      </c>
      <c r="C14" s="187">
        <v>1</v>
      </c>
      <c r="D14" s="188">
        <v>1</v>
      </c>
      <c r="E14" s="189">
        <v>2300</v>
      </c>
      <c r="F14" s="37" t="s">
        <v>571</v>
      </c>
      <c r="G14" s="153" t="s">
        <v>34</v>
      </c>
      <c r="H14" s="190">
        <v>120</v>
      </c>
      <c r="I14" s="191">
        <v>6</v>
      </c>
      <c r="J14" s="192">
        <v>1</v>
      </c>
      <c r="K14" s="193" t="s">
        <v>437</v>
      </c>
      <c r="L14" s="194">
        <v>3</v>
      </c>
      <c r="M14" s="29"/>
    </row>
    <row r="15" spans="1:24">
      <c r="A15" s="137" t="s">
        <v>450</v>
      </c>
      <c r="B15" s="138" t="s">
        <v>20</v>
      </c>
      <c r="C15" s="144">
        <v>1.5</v>
      </c>
      <c r="D15" s="145">
        <v>2</v>
      </c>
      <c r="E15" s="146">
        <v>5300</v>
      </c>
      <c r="F15" s="147" t="s">
        <v>571</v>
      </c>
      <c r="G15" s="139" t="s">
        <v>448</v>
      </c>
      <c r="H15" s="140">
        <v>50</v>
      </c>
      <c r="I15" s="141">
        <v>30</v>
      </c>
      <c r="J15" s="142" t="s">
        <v>495</v>
      </c>
      <c r="K15" s="143" t="s">
        <v>449</v>
      </c>
      <c r="L15" s="185">
        <v>3</v>
      </c>
      <c r="M15" s="29"/>
    </row>
    <row r="16" spans="1:24">
      <c r="A16" s="148" t="s">
        <v>14</v>
      </c>
      <c r="B16" s="128" t="s">
        <v>20</v>
      </c>
      <c r="C16" s="134">
        <v>1.5</v>
      </c>
      <c r="D16" s="135">
        <v>2</v>
      </c>
      <c r="E16" s="136">
        <v>4500</v>
      </c>
      <c r="F16" s="38" t="s">
        <v>571</v>
      </c>
      <c r="G16" s="129" t="s">
        <v>35</v>
      </c>
      <c r="H16" s="130">
        <v>200</v>
      </c>
      <c r="I16" s="131">
        <v>20</v>
      </c>
      <c r="J16" s="132" t="s">
        <v>496</v>
      </c>
      <c r="K16" s="133" t="s">
        <v>445</v>
      </c>
      <c r="L16" s="186">
        <v>3</v>
      </c>
      <c r="M16" s="29"/>
    </row>
    <row r="17" spans="1:13" ht="18.75" customHeight="1">
      <c r="A17" s="148" t="s">
        <v>15</v>
      </c>
      <c r="B17" s="128" t="s">
        <v>20</v>
      </c>
      <c r="C17" s="134">
        <v>2</v>
      </c>
      <c r="D17" s="135">
        <v>4</v>
      </c>
      <c r="E17" s="136">
        <v>6000</v>
      </c>
      <c r="F17" s="38" t="s">
        <v>571</v>
      </c>
      <c r="G17" s="129" t="s">
        <v>451</v>
      </c>
      <c r="H17" s="130">
        <v>200</v>
      </c>
      <c r="I17" s="131">
        <v>25</v>
      </c>
      <c r="J17" s="132">
        <v>5</v>
      </c>
      <c r="K17" s="133" t="s">
        <v>452</v>
      </c>
      <c r="L17" s="186">
        <v>4</v>
      </c>
      <c r="M17" s="29"/>
    </row>
    <row r="18" spans="1:13">
      <c r="A18" s="148" t="s">
        <v>48</v>
      </c>
      <c r="B18" s="128" t="s">
        <v>453</v>
      </c>
      <c r="C18" s="134">
        <v>2</v>
      </c>
      <c r="D18" s="135">
        <v>3</v>
      </c>
      <c r="E18" s="136">
        <v>6500</v>
      </c>
      <c r="F18" s="38" t="s">
        <v>571</v>
      </c>
      <c r="G18" s="129" t="s">
        <v>454</v>
      </c>
      <c r="H18" s="130">
        <v>200</v>
      </c>
      <c r="I18" s="131">
        <v>50</v>
      </c>
      <c r="J18" s="132" t="s">
        <v>496</v>
      </c>
      <c r="K18" s="133" t="s">
        <v>445</v>
      </c>
      <c r="L18" s="186">
        <v>4</v>
      </c>
      <c r="M18" s="29"/>
    </row>
    <row r="19" spans="1:13" ht="15.75" thickBot="1">
      <c r="A19" s="151" t="s">
        <v>446</v>
      </c>
      <c r="B19" s="152" t="s">
        <v>20</v>
      </c>
      <c r="C19" s="187">
        <v>2</v>
      </c>
      <c r="D19" s="188">
        <v>3</v>
      </c>
      <c r="E19" s="189">
        <v>5000</v>
      </c>
      <c r="F19" s="37" t="s">
        <v>571</v>
      </c>
      <c r="G19" s="153" t="s">
        <v>447</v>
      </c>
      <c r="H19" s="190">
        <v>200</v>
      </c>
      <c r="I19" s="191">
        <v>32</v>
      </c>
      <c r="J19" s="192" t="s">
        <v>496</v>
      </c>
      <c r="K19" s="193" t="s">
        <v>445</v>
      </c>
      <c r="L19" s="194">
        <v>4</v>
      </c>
      <c r="M19" s="29"/>
    </row>
    <row r="20" spans="1:13">
      <c r="A20" s="137" t="s">
        <v>485</v>
      </c>
      <c r="B20" s="138" t="s">
        <v>23</v>
      </c>
      <c r="C20" s="144">
        <v>1</v>
      </c>
      <c r="D20" s="145">
        <v>0.5</v>
      </c>
      <c r="E20" s="146">
        <v>20000</v>
      </c>
      <c r="F20" s="147" t="s">
        <v>571</v>
      </c>
      <c r="G20" s="139" t="s">
        <v>57</v>
      </c>
      <c r="H20" s="140">
        <v>200</v>
      </c>
      <c r="I20" s="141">
        <v>12</v>
      </c>
      <c r="J20" s="142">
        <v>1</v>
      </c>
      <c r="K20" s="143" t="s">
        <v>436</v>
      </c>
      <c r="L20" s="185">
        <v>3</v>
      </c>
      <c r="M20" s="29"/>
    </row>
    <row r="21" spans="1:13">
      <c r="A21" s="148" t="s">
        <v>486</v>
      </c>
      <c r="B21" s="128" t="s">
        <v>455</v>
      </c>
      <c r="C21" s="134">
        <v>1.5</v>
      </c>
      <c r="D21" s="135">
        <v>1</v>
      </c>
      <c r="E21" s="136">
        <v>3500</v>
      </c>
      <c r="F21" s="38" t="s">
        <v>572</v>
      </c>
      <c r="G21" s="129" t="s">
        <v>33</v>
      </c>
      <c r="H21" s="130">
        <v>10</v>
      </c>
      <c r="I21" s="131">
        <v>10</v>
      </c>
      <c r="J21" s="132">
        <v>1</v>
      </c>
      <c r="K21" s="133" t="s">
        <v>456</v>
      </c>
      <c r="L21" s="186">
        <v>2</v>
      </c>
      <c r="M21" s="29"/>
    </row>
    <row r="22" spans="1:13">
      <c r="A22" s="148" t="s">
        <v>17</v>
      </c>
      <c r="B22" s="128" t="s">
        <v>24</v>
      </c>
      <c r="C22" s="134">
        <v>1.5</v>
      </c>
      <c r="D22" s="135">
        <v>1</v>
      </c>
      <c r="E22" s="136">
        <v>4500</v>
      </c>
      <c r="F22" s="38" t="s">
        <v>573</v>
      </c>
      <c r="G22" s="129" t="s">
        <v>36</v>
      </c>
      <c r="H22" s="130">
        <v>20</v>
      </c>
      <c r="I22" s="131">
        <v>1</v>
      </c>
      <c r="J22" s="132">
        <v>1</v>
      </c>
      <c r="K22" s="133" t="s">
        <v>456</v>
      </c>
      <c r="L22" s="186">
        <v>3</v>
      </c>
      <c r="M22" s="29"/>
    </row>
    <row r="23" spans="1:13">
      <c r="A23" s="148" t="s">
        <v>18</v>
      </c>
      <c r="B23" s="128" t="s">
        <v>25</v>
      </c>
      <c r="C23" s="134">
        <v>1</v>
      </c>
      <c r="D23" s="135">
        <v>0.5</v>
      </c>
      <c r="E23" s="136">
        <v>150</v>
      </c>
      <c r="F23" s="38" t="s">
        <v>571</v>
      </c>
      <c r="G23" s="129" t="s">
        <v>37</v>
      </c>
      <c r="H23" s="130">
        <v>12</v>
      </c>
      <c r="I23" s="131">
        <v>4</v>
      </c>
      <c r="J23" s="132">
        <v>1</v>
      </c>
      <c r="K23" s="133" t="s">
        <v>436</v>
      </c>
      <c r="L23" s="186">
        <v>2</v>
      </c>
      <c r="M23" s="29"/>
    </row>
    <row r="24" spans="1:13">
      <c r="A24" s="148" t="s">
        <v>457</v>
      </c>
      <c r="B24" s="128" t="s">
        <v>20</v>
      </c>
      <c r="C24" s="134">
        <v>1</v>
      </c>
      <c r="D24" s="135">
        <v>0.5</v>
      </c>
      <c r="E24" s="136">
        <v>350</v>
      </c>
      <c r="F24" s="38" t="s">
        <v>571</v>
      </c>
      <c r="G24" s="129" t="s">
        <v>31</v>
      </c>
      <c r="H24" s="130">
        <v>40</v>
      </c>
      <c r="I24" s="131">
        <v>1</v>
      </c>
      <c r="J24" s="132">
        <v>1</v>
      </c>
      <c r="K24" s="133" t="s">
        <v>436</v>
      </c>
      <c r="L24" s="186">
        <v>2</v>
      </c>
      <c r="M24" s="29"/>
    </row>
    <row r="25" spans="1:13" ht="15.75" thickBot="1">
      <c r="A25" s="151" t="s">
        <v>19</v>
      </c>
      <c r="B25" s="152" t="s">
        <v>26</v>
      </c>
      <c r="C25" s="187">
        <v>1</v>
      </c>
      <c r="D25" s="188">
        <v>0.5</v>
      </c>
      <c r="E25" s="189">
        <v>2500</v>
      </c>
      <c r="F25" s="37" t="s">
        <v>574</v>
      </c>
      <c r="G25" s="153" t="s">
        <v>36</v>
      </c>
      <c r="H25" s="190">
        <v>3</v>
      </c>
      <c r="I25" s="191">
        <v>3</v>
      </c>
      <c r="J25" s="192">
        <v>1</v>
      </c>
      <c r="K25" s="193" t="s">
        <v>458</v>
      </c>
      <c r="L25" s="194">
        <v>2</v>
      </c>
      <c r="M25" s="29"/>
    </row>
    <row r="26" spans="1:13">
      <c r="A26" s="137" t="s">
        <v>39</v>
      </c>
      <c r="B26" s="138" t="s">
        <v>52</v>
      </c>
      <c r="C26" s="144">
        <v>3</v>
      </c>
      <c r="D26" s="145">
        <v>3.5</v>
      </c>
      <c r="E26" s="146">
        <v>3000</v>
      </c>
      <c r="F26" s="147" t="s">
        <v>571</v>
      </c>
      <c r="G26" s="139" t="s">
        <v>56</v>
      </c>
      <c r="H26" s="140">
        <v>180</v>
      </c>
      <c r="I26" s="141">
        <v>10</v>
      </c>
      <c r="J26" s="142">
        <v>1</v>
      </c>
      <c r="K26" s="143" t="s">
        <v>437</v>
      </c>
      <c r="L26" s="185">
        <v>4</v>
      </c>
      <c r="M26" s="29"/>
    </row>
    <row r="27" spans="1:13">
      <c r="A27" s="148" t="s">
        <v>394</v>
      </c>
      <c r="B27" s="128" t="s">
        <v>378</v>
      </c>
      <c r="C27" s="134">
        <v>4</v>
      </c>
      <c r="D27" s="135">
        <v>7</v>
      </c>
      <c r="E27" s="136">
        <v>4200</v>
      </c>
      <c r="F27" s="38" t="s">
        <v>571</v>
      </c>
      <c r="G27" s="129" t="s">
        <v>32</v>
      </c>
      <c r="H27" s="130">
        <v>800</v>
      </c>
      <c r="I27" s="131">
        <v>6</v>
      </c>
      <c r="J27" s="132">
        <v>1</v>
      </c>
      <c r="K27" s="133" t="s">
        <v>437</v>
      </c>
      <c r="L27" s="186">
        <v>5</v>
      </c>
      <c r="M27" s="29"/>
    </row>
    <row r="28" spans="1:13" ht="15.75" customHeight="1">
      <c r="A28" s="148" t="s">
        <v>40</v>
      </c>
      <c r="B28" s="128" t="s">
        <v>52</v>
      </c>
      <c r="C28" s="134">
        <v>4</v>
      </c>
      <c r="D28" s="135">
        <v>8</v>
      </c>
      <c r="E28" s="136">
        <v>4700</v>
      </c>
      <c r="F28" s="38" t="s">
        <v>571</v>
      </c>
      <c r="G28" s="129" t="s">
        <v>460</v>
      </c>
      <c r="H28" s="130">
        <v>1500</v>
      </c>
      <c r="I28" s="131">
        <v>6</v>
      </c>
      <c r="J28" s="132">
        <v>1</v>
      </c>
      <c r="K28" s="133" t="s">
        <v>437</v>
      </c>
      <c r="L28" s="186">
        <v>5</v>
      </c>
      <c r="M28" s="29"/>
    </row>
    <row r="29" spans="1:13" ht="20.25" customHeight="1">
      <c r="A29" s="148" t="s">
        <v>41</v>
      </c>
      <c r="B29" s="128" t="s">
        <v>379</v>
      </c>
      <c r="C29" s="134">
        <v>3.5</v>
      </c>
      <c r="D29" s="135">
        <v>4.5</v>
      </c>
      <c r="E29" s="136">
        <v>4000</v>
      </c>
      <c r="F29" s="38" t="s">
        <v>571</v>
      </c>
      <c r="G29" s="129" t="s">
        <v>459</v>
      </c>
      <c r="H29" s="130">
        <v>180</v>
      </c>
      <c r="I29" s="131">
        <v>8</v>
      </c>
      <c r="J29" s="132">
        <v>1</v>
      </c>
      <c r="K29" s="133" t="s">
        <v>436</v>
      </c>
      <c r="L29" s="186">
        <v>4</v>
      </c>
      <c r="M29" s="29"/>
    </row>
    <row r="30" spans="1:13" ht="20.25" customHeight="1">
      <c r="A30" s="148" t="s">
        <v>461</v>
      </c>
      <c r="B30" s="128" t="s">
        <v>52</v>
      </c>
      <c r="C30" s="134">
        <v>4</v>
      </c>
      <c r="D30" s="135">
        <v>6</v>
      </c>
      <c r="E30" s="136">
        <v>6000</v>
      </c>
      <c r="F30" s="38" t="s">
        <v>571</v>
      </c>
      <c r="G30" s="129" t="s">
        <v>462</v>
      </c>
      <c r="H30" s="130">
        <v>800</v>
      </c>
      <c r="I30" s="131">
        <v>10</v>
      </c>
      <c r="J30" s="132">
        <v>1</v>
      </c>
      <c r="K30" s="133" t="s">
        <v>437</v>
      </c>
      <c r="L30" s="186">
        <v>4</v>
      </c>
      <c r="M30" s="29"/>
    </row>
    <row r="31" spans="1:13">
      <c r="A31" s="148" t="s">
        <v>42</v>
      </c>
      <c r="B31" s="128" t="s">
        <v>463</v>
      </c>
      <c r="C31" s="134">
        <v>3.5</v>
      </c>
      <c r="D31" s="135">
        <v>3</v>
      </c>
      <c r="E31" s="136">
        <v>30000</v>
      </c>
      <c r="F31" s="38" t="s">
        <v>571</v>
      </c>
      <c r="G31" s="129" t="s">
        <v>464</v>
      </c>
      <c r="H31" s="130">
        <v>500</v>
      </c>
      <c r="I31" s="131">
        <v>20</v>
      </c>
      <c r="J31" s="132">
        <v>1</v>
      </c>
      <c r="K31" s="133" t="s">
        <v>437</v>
      </c>
      <c r="L31" s="186">
        <v>4</v>
      </c>
      <c r="M31" s="29"/>
    </row>
    <row r="32" spans="1:13">
      <c r="A32" s="148" t="s">
        <v>395</v>
      </c>
      <c r="B32" s="128" t="s">
        <v>54</v>
      </c>
      <c r="C32" s="134">
        <v>3</v>
      </c>
      <c r="D32" s="135">
        <v>3</v>
      </c>
      <c r="E32" s="136">
        <v>300</v>
      </c>
      <c r="F32" s="38" t="s">
        <v>571</v>
      </c>
      <c r="G32" s="129" t="s">
        <v>465</v>
      </c>
      <c r="H32" s="130">
        <v>50</v>
      </c>
      <c r="I32" s="131">
        <v>1</v>
      </c>
      <c r="J32" s="132">
        <v>1</v>
      </c>
      <c r="K32" s="133" t="s">
        <v>436</v>
      </c>
      <c r="L32" s="186">
        <v>3</v>
      </c>
      <c r="M32" s="29"/>
    </row>
    <row r="33" spans="1:13">
      <c r="A33" s="148" t="s">
        <v>396</v>
      </c>
      <c r="B33" s="128" t="s">
        <v>54</v>
      </c>
      <c r="C33" s="134">
        <v>3</v>
      </c>
      <c r="D33" s="135">
        <v>3</v>
      </c>
      <c r="E33" s="136">
        <v>500</v>
      </c>
      <c r="F33" s="38" t="s">
        <v>571</v>
      </c>
      <c r="G33" s="129" t="s">
        <v>466</v>
      </c>
      <c r="H33" s="130">
        <v>60</v>
      </c>
      <c r="I33" s="131">
        <v>1</v>
      </c>
      <c r="J33" s="132">
        <v>1</v>
      </c>
      <c r="K33" s="133" t="s">
        <v>436</v>
      </c>
      <c r="L33" s="186">
        <v>3</v>
      </c>
      <c r="M33" s="29"/>
    </row>
    <row r="34" spans="1:13">
      <c r="A34" s="148" t="s">
        <v>404</v>
      </c>
      <c r="B34" s="128" t="s">
        <v>66</v>
      </c>
      <c r="C34" s="134">
        <v>3.5</v>
      </c>
      <c r="D34" s="135">
        <v>4</v>
      </c>
      <c r="E34" s="136">
        <v>7000</v>
      </c>
      <c r="F34" s="38" t="s">
        <v>571</v>
      </c>
      <c r="G34" s="129" t="s">
        <v>67</v>
      </c>
      <c r="H34" s="130">
        <v>450</v>
      </c>
      <c r="I34" s="131">
        <v>32</v>
      </c>
      <c r="J34" s="132" t="s">
        <v>496</v>
      </c>
      <c r="K34" s="133" t="s">
        <v>449</v>
      </c>
      <c r="L34" s="186">
        <v>5</v>
      </c>
      <c r="M34" s="29"/>
    </row>
    <row r="35" spans="1:13" ht="15.75" thickBot="1">
      <c r="A35" s="151" t="s">
        <v>397</v>
      </c>
      <c r="B35" s="152" t="s">
        <v>52</v>
      </c>
      <c r="C35" s="187">
        <v>3.5</v>
      </c>
      <c r="D35" s="188">
        <v>4</v>
      </c>
      <c r="E35" s="189">
        <v>2500</v>
      </c>
      <c r="F35" s="37" t="s">
        <v>571</v>
      </c>
      <c r="G35" s="153" t="s">
        <v>58</v>
      </c>
      <c r="H35" s="190">
        <v>50</v>
      </c>
      <c r="I35" s="191">
        <v>5</v>
      </c>
      <c r="J35" s="192">
        <v>1</v>
      </c>
      <c r="K35" s="193" t="s">
        <v>468</v>
      </c>
      <c r="L35" s="194">
        <v>4</v>
      </c>
      <c r="M35" s="29"/>
    </row>
    <row r="36" spans="1:13">
      <c r="A36" s="137" t="s">
        <v>43</v>
      </c>
      <c r="B36" s="138" t="s">
        <v>54</v>
      </c>
      <c r="C36" s="144">
        <v>2</v>
      </c>
      <c r="D36" s="145">
        <v>2.5</v>
      </c>
      <c r="E36" s="146">
        <v>750</v>
      </c>
      <c r="F36" s="147" t="s">
        <v>571</v>
      </c>
      <c r="G36" s="139" t="s">
        <v>467</v>
      </c>
      <c r="H36" s="140">
        <v>5</v>
      </c>
      <c r="I36" s="141">
        <v>20</v>
      </c>
      <c r="J36" s="142">
        <v>20</v>
      </c>
      <c r="K36" s="143" t="s">
        <v>456</v>
      </c>
      <c r="L36" s="185">
        <v>3</v>
      </c>
      <c r="M36" s="29"/>
    </row>
    <row r="37" spans="1:13">
      <c r="A37" s="148" t="s">
        <v>398</v>
      </c>
      <c r="B37" s="128" t="s">
        <v>55</v>
      </c>
      <c r="C37" s="134">
        <v>3</v>
      </c>
      <c r="D37" s="135">
        <v>3.5</v>
      </c>
      <c r="E37" s="136">
        <v>2200</v>
      </c>
      <c r="F37" s="38" t="s">
        <v>571</v>
      </c>
      <c r="G37" s="129" t="s">
        <v>59</v>
      </c>
      <c r="H37" s="130">
        <v>50</v>
      </c>
      <c r="I37" s="131">
        <v>2</v>
      </c>
      <c r="J37" s="132" t="s">
        <v>497</v>
      </c>
      <c r="K37" s="133" t="s">
        <v>449</v>
      </c>
      <c r="L37" s="186">
        <v>4</v>
      </c>
      <c r="M37" s="29"/>
    </row>
    <row r="38" spans="1:13">
      <c r="A38" s="148" t="s">
        <v>399</v>
      </c>
      <c r="B38" s="128" t="s">
        <v>55</v>
      </c>
      <c r="C38" s="134">
        <v>3</v>
      </c>
      <c r="D38" s="135">
        <v>3.5</v>
      </c>
      <c r="E38" s="136">
        <v>1800</v>
      </c>
      <c r="F38" s="38" t="s">
        <v>571</v>
      </c>
      <c r="G38" s="129" t="s">
        <v>469</v>
      </c>
      <c r="H38" s="130">
        <v>50</v>
      </c>
      <c r="I38" s="131">
        <v>5</v>
      </c>
      <c r="J38" s="132">
        <v>1</v>
      </c>
      <c r="K38" s="133" t="s">
        <v>437</v>
      </c>
      <c r="L38" s="186">
        <v>4</v>
      </c>
      <c r="M38" s="29"/>
    </row>
    <row r="39" spans="1:13">
      <c r="A39" s="148" t="s">
        <v>44</v>
      </c>
      <c r="B39" s="128" t="s">
        <v>55</v>
      </c>
      <c r="C39" s="134">
        <v>2.5</v>
      </c>
      <c r="D39" s="135">
        <v>4</v>
      </c>
      <c r="E39" s="136">
        <v>3500</v>
      </c>
      <c r="F39" s="38" t="s">
        <v>571</v>
      </c>
      <c r="G39" s="129" t="s">
        <v>470</v>
      </c>
      <c r="H39" s="130">
        <v>50</v>
      </c>
      <c r="I39" s="131">
        <v>12</v>
      </c>
      <c r="J39" s="132">
        <v>1</v>
      </c>
      <c r="K39" s="133" t="s">
        <v>436</v>
      </c>
      <c r="L39" s="186">
        <v>4</v>
      </c>
      <c r="M39" s="29"/>
    </row>
    <row r="40" spans="1:13">
      <c r="A40" s="148" t="s">
        <v>46</v>
      </c>
      <c r="B40" s="128" t="s">
        <v>55</v>
      </c>
      <c r="C40" s="134">
        <v>3.5</v>
      </c>
      <c r="D40" s="135">
        <v>4</v>
      </c>
      <c r="E40" s="136">
        <v>5000</v>
      </c>
      <c r="F40" s="38" t="s">
        <v>571</v>
      </c>
      <c r="G40" s="129" t="s">
        <v>472</v>
      </c>
      <c r="H40" s="130">
        <v>70</v>
      </c>
      <c r="I40" s="131">
        <v>12</v>
      </c>
      <c r="J40" s="132" t="s">
        <v>498</v>
      </c>
      <c r="K40" s="133" t="s">
        <v>449</v>
      </c>
      <c r="L40" s="186">
        <v>5</v>
      </c>
      <c r="M40" s="29"/>
    </row>
    <row r="41" spans="1:13">
      <c r="A41" s="148" t="s">
        <v>45</v>
      </c>
      <c r="B41" s="128" t="s">
        <v>55</v>
      </c>
      <c r="C41" s="134">
        <v>3</v>
      </c>
      <c r="D41" s="135">
        <v>4</v>
      </c>
      <c r="E41" s="136">
        <v>6500</v>
      </c>
      <c r="F41" s="38" t="s">
        <v>571</v>
      </c>
      <c r="G41" s="129" t="s">
        <v>471</v>
      </c>
      <c r="H41" s="130">
        <v>70</v>
      </c>
      <c r="I41" s="131">
        <v>10</v>
      </c>
      <c r="J41" s="132" t="s">
        <v>498</v>
      </c>
      <c r="K41" s="133" t="s">
        <v>449</v>
      </c>
      <c r="L41" s="186">
        <v>5</v>
      </c>
      <c r="M41" s="29"/>
    </row>
    <row r="42" spans="1:13" ht="15.75" thickBot="1">
      <c r="A42" s="151" t="s">
        <v>400</v>
      </c>
      <c r="B42" s="152" t="s">
        <v>55</v>
      </c>
      <c r="C42" s="187">
        <v>3.5</v>
      </c>
      <c r="D42" s="188">
        <v>4.5</v>
      </c>
      <c r="E42" s="189">
        <v>8000</v>
      </c>
      <c r="F42" s="37" t="s">
        <v>571</v>
      </c>
      <c r="G42" s="153" t="s">
        <v>473</v>
      </c>
      <c r="H42" s="190">
        <v>80</v>
      </c>
      <c r="I42" s="191">
        <v>10</v>
      </c>
      <c r="J42" s="192" t="s">
        <v>498</v>
      </c>
      <c r="K42" s="193" t="s">
        <v>445</v>
      </c>
      <c r="L42" s="194">
        <v>5</v>
      </c>
      <c r="M42" s="29"/>
    </row>
    <row r="43" spans="1:13">
      <c r="A43" s="137" t="s">
        <v>401</v>
      </c>
      <c r="B43" s="138" t="s">
        <v>20</v>
      </c>
      <c r="C43" s="144">
        <v>2</v>
      </c>
      <c r="D43" s="145">
        <v>3</v>
      </c>
      <c r="E43" s="146">
        <v>2800</v>
      </c>
      <c r="F43" s="147" t="s">
        <v>571</v>
      </c>
      <c r="G43" s="139" t="s">
        <v>60</v>
      </c>
      <c r="H43" s="140">
        <v>150</v>
      </c>
      <c r="I43" s="141">
        <v>15</v>
      </c>
      <c r="J43" s="142" t="s">
        <v>495</v>
      </c>
      <c r="K43" s="143" t="s">
        <v>449</v>
      </c>
      <c r="L43" s="185">
        <v>4</v>
      </c>
      <c r="M43" s="29"/>
    </row>
    <row r="44" spans="1:13">
      <c r="A44" s="148" t="s">
        <v>47</v>
      </c>
      <c r="B44" s="128" t="s">
        <v>20</v>
      </c>
      <c r="C44" s="134">
        <v>2.5</v>
      </c>
      <c r="D44" s="135">
        <v>3</v>
      </c>
      <c r="E44" s="136">
        <v>2300</v>
      </c>
      <c r="F44" s="38" t="s">
        <v>571</v>
      </c>
      <c r="G44" s="129" t="s">
        <v>61</v>
      </c>
      <c r="H44" s="130">
        <v>150</v>
      </c>
      <c r="I44" s="131">
        <v>100</v>
      </c>
      <c r="J44" s="132" t="s">
        <v>495</v>
      </c>
      <c r="K44" s="133" t="s">
        <v>449</v>
      </c>
      <c r="L44" s="186">
        <v>4</v>
      </c>
      <c r="M44" s="29"/>
    </row>
    <row r="45" spans="1:13">
      <c r="A45" s="148" t="s">
        <v>49</v>
      </c>
      <c r="B45" s="128" t="s">
        <v>20</v>
      </c>
      <c r="C45" s="134">
        <v>2.5</v>
      </c>
      <c r="D45" s="135">
        <v>2.5</v>
      </c>
      <c r="E45" s="136">
        <v>5500</v>
      </c>
      <c r="F45" s="38" t="s">
        <v>571</v>
      </c>
      <c r="G45" s="129" t="s">
        <v>474</v>
      </c>
      <c r="H45" s="130">
        <v>150</v>
      </c>
      <c r="I45" s="131">
        <v>30</v>
      </c>
      <c r="J45" s="132" t="s">
        <v>495</v>
      </c>
      <c r="K45" s="133" t="s">
        <v>449</v>
      </c>
      <c r="L45" s="186">
        <v>4</v>
      </c>
      <c r="M45" s="29"/>
    </row>
    <row r="46" spans="1:13">
      <c r="A46" s="148" t="s">
        <v>50</v>
      </c>
      <c r="B46" s="128" t="s">
        <v>20</v>
      </c>
      <c r="C46" s="134">
        <v>2.5</v>
      </c>
      <c r="D46" s="135">
        <v>4.5</v>
      </c>
      <c r="E46" s="136">
        <v>3300</v>
      </c>
      <c r="F46" s="38" t="s">
        <v>571</v>
      </c>
      <c r="G46" s="129" t="s">
        <v>475</v>
      </c>
      <c r="H46" s="130">
        <v>100</v>
      </c>
      <c r="I46" s="131">
        <v>30</v>
      </c>
      <c r="J46" s="132" t="s">
        <v>498</v>
      </c>
      <c r="K46" s="133" t="s">
        <v>449</v>
      </c>
      <c r="L46" s="186">
        <v>4</v>
      </c>
      <c r="M46" s="29"/>
    </row>
    <row r="47" spans="1:13">
      <c r="A47" s="148" t="s">
        <v>402</v>
      </c>
      <c r="B47" s="128" t="s">
        <v>66</v>
      </c>
      <c r="C47" s="134">
        <v>3</v>
      </c>
      <c r="D47" s="135">
        <v>3</v>
      </c>
      <c r="E47" s="136">
        <v>2500</v>
      </c>
      <c r="F47" s="38" t="s">
        <v>571</v>
      </c>
      <c r="G47" s="129" t="s">
        <v>62</v>
      </c>
      <c r="H47" s="130">
        <v>250</v>
      </c>
      <c r="I47" s="131">
        <v>40</v>
      </c>
      <c r="J47" s="132" t="s">
        <v>496</v>
      </c>
      <c r="K47" s="133" t="s">
        <v>449</v>
      </c>
      <c r="L47" s="186">
        <v>4</v>
      </c>
      <c r="M47" s="29"/>
    </row>
    <row r="48" spans="1:13">
      <c r="A48" s="148" t="s">
        <v>51</v>
      </c>
      <c r="B48" s="128" t="s">
        <v>20</v>
      </c>
      <c r="C48" s="134">
        <v>3</v>
      </c>
      <c r="D48" s="135">
        <v>3</v>
      </c>
      <c r="E48" s="136">
        <v>5200</v>
      </c>
      <c r="F48" s="38" t="s">
        <v>571</v>
      </c>
      <c r="G48" s="129" t="s">
        <v>476</v>
      </c>
      <c r="H48" s="130">
        <v>70</v>
      </c>
      <c r="I48" s="131">
        <v>32</v>
      </c>
      <c r="J48" s="132" t="s">
        <v>496</v>
      </c>
      <c r="K48" s="133" t="s">
        <v>445</v>
      </c>
      <c r="L48" s="186">
        <v>4</v>
      </c>
      <c r="M48" s="29"/>
    </row>
    <row r="49" spans="1:13" ht="15.75" thickBot="1">
      <c r="A49" s="151" t="s">
        <v>403</v>
      </c>
      <c r="B49" s="152" t="s">
        <v>376</v>
      </c>
      <c r="C49" s="187">
        <v>3.5</v>
      </c>
      <c r="D49" s="188">
        <v>5</v>
      </c>
      <c r="E49" s="189">
        <v>8500</v>
      </c>
      <c r="F49" s="37" t="s">
        <v>571</v>
      </c>
      <c r="G49" s="153" t="s">
        <v>63</v>
      </c>
      <c r="H49" s="190">
        <v>100</v>
      </c>
      <c r="I49" s="191">
        <v>50</v>
      </c>
      <c r="J49" s="192" t="s">
        <v>495</v>
      </c>
      <c r="K49" s="193" t="s">
        <v>449</v>
      </c>
      <c r="L49" s="194">
        <v>5</v>
      </c>
      <c r="M49" s="29"/>
    </row>
    <row r="50" spans="1:13">
      <c r="A50" s="137" t="s">
        <v>64</v>
      </c>
      <c r="B50" s="138" t="s">
        <v>52</v>
      </c>
      <c r="C50" s="144">
        <v>3.5</v>
      </c>
      <c r="D50" s="145">
        <v>4.5</v>
      </c>
      <c r="E50" s="146">
        <v>5000</v>
      </c>
      <c r="F50" s="147" t="s">
        <v>571</v>
      </c>
      <c r="G50" s="139" t="s">
        <v>477</v>
      </c>
      <c r="H50" s="140">
        <v>350</v>
      </c>
      <c r="I50" s="141">
        <v>30</v>
      </c>
      <c r="J50" s="142" t="s">
        <v>495</v>
      </c>
      <c r="K50" s="143" t="s">
        <v>449</v>
      </c>
      <c r="L50" s="185">
        <v>5</v>
      </c>
      <c r="M50" s="29"/>
    </row>
    <row r="51" spans="1:13">
      <c r="A51" s="148" t="s">
        <v>65</v>
      </c>
      <c r="B51" s="128" t="s">
        <v>66</v>
      </c>
      <c r="C51" s="134">
        <v>3</v>
      </c>
      <c r="D51" s="135">
        <v>3.5</v>
      </c>
      <c r="E51" s="136">
        <v>4000</v>
      </c>
      <c r="F51" s="38" t="s">
        <v>571</v>
      </c>
      <c r="G51" s="129" t="s">
        <v>478</v>
      </c>
      <c r="H51" s="130">
        <v>400</v>
      </c>
      <c r="I51" s="131">
        <v>30</v>
      </c>
      <c r="J51" s="132" t="s">
        <v>495</v>
      </c>
      <c r="K51" s="133" t="s">
        <v>449</v>
      </c>
      <c r="L51" s="186">
        <v>5</v>
      </c>
      <c r="M51" s="29"/>
    </row>
    <row r="52" spans="1:13">
      <c r="A52" s="148" t="s">
        <v>479</v>
      </c>
      <c r="B52" s="128" t="s">
        <v>66</v>
      </c>
      <c r="C52" s="134">
        <v>3</v>
      </c>
      <c r="D52" s="135">
        <v>4</v>
      </c>
      <c r="E52" s="136">
        <v>5700</v>
      </c>
      <c r="F52" s="38" t="s">
        <v>571</v>
      </c>
      <c r="G52" s="129" t="s">
        <v>480</v>
      </c>
      <c r="H52" s="130">
        <v>450</v>
      </c>
      <c r="I52" s="131">
        <v>30</v>
      </c>
      <c r="J52" s="132" t="s">
        <v>495</v>
      </c>
      <c r="K52" s="133" t="s">
        <v>449</v>
      </c>
      <c r="L52" s="186">
        <v>4</v>
      </c>
      <c r="M52" s="29"/>
    </row>
    <row r="53" spans="1:13">
      <c r="A53" s="148" t="s">
        <v>68</v>
      </c>
      <c r="B53" s="128" t="s">
        <v>52</v>
      </c>
      <c r="C53" s="134">
        <v>3.5</v>
      </c>
      <c r="D53" s="135">
        <v>4.5</v>
      </c>
      <c r="E53" s="136">
        <v>6000</v>
      </c>
      <c r="F53" s="38" t="s">
        <v>571</v>
      </c>
      <c r="G53" s="129" t="s">
        <v>481</v>
      </c>
      <c r="H53" s="130">
        <v>200</v>
      </c>
      <c r="I53" s="131">
        <v>20</v>
      </c>
      <c r="J53" s="132" t="s">
        <v>495</v>
      </c>
      <c r="K53" s="133" t="s">
        <v>445</v>
      </c>
      <c r="L53" s="186">
        <v>4</v>
      </c>
      <c r="M53" s="29"/>
    </row>
    <row r="54" spans="1:13">
      <c r="A54" s="148" t="s">
        <v>69</v>
      </c>
      <c r="B54" s="128" t="s">
        <v>52</v>
      </c>
      <c r="C54" s="134">
        <v>3.5</v>
      </c>
      <c r="D54" s="135">
        <v>5</v>
      </c>
      <c r="E54" s="136">
        <v>5700</v>
      </c>
      <c r="F54" s="38" t="s">
        <v>571</v>
      </c>
      <c r="G54" s="129" t="s">
        <v>482</v>
      </c>
      <c r="H54" s="130">
        <v>200</v>
      </c>
      <c r="I54" s="131">
        <v>20</v>
      </c>
      <c r="J54" s="132" t="s">
        <v>496</v>
      </c>
      <c r="K54" s="133" t="s">
        <v>449</v>
      </c>
      <c r="L54" s="186">
        <v>5</v>
      </c>
      <c r="M54" s="29"/>
    </row>
    <row r="55" spans="1:13">
      <c r="A55" s="148" t="s">
        <v>70</v>
      </c>
      <c r="B55" s="128" t="s">
        <v>66</v>
      </c>
      <c r="C55" s="134">
        <v>4</v>
      </c>
      <c r="D55" s="135">
        <v>3.5</v>
      </c>
      <c r="E55" s="136">
        <v>4200</v>
      </c>
      <c r="F55" s="38" t="s">
        <v>571</v>
      </c>
      <c r="G55" s="129" t="s">
        <v>483</v>
      </c>
      <c r="H55" s="130">
        <v>460</v>
      </c>
      <c r="I55" s="131">
        <v>30</v>
      </c>
      <c r="J55" s="132" t="s">
        <v>495</v>
      </c>
      <c r="K55" s="133" t="s">
        <v>449</v>
      </c>
      <c r="L55" s="186">
        <v>5</v>
      </c>
      <c r="M55" s="29"/>
    </row>
    <row r="56" spans="1:13">
      <c r="A56" s="148" t="s">
        <v>71</v>
      </c>
      <c r="B56" s="128" t="s">
        <v>66</v>
      </c>
      <c r="C56" s="134">
        <v>3</v>
      </c>
      <c r="D56" s="135">
        <v>4</v>
      </c>
      <c r="E56" s="136">
        <v>6000</v>
      </c>
      <c r="F56" s="38" t="s">
        <v>571</v>
      </c>
      <c r="G56" s="129" t="s">
        <v>484</v>
      </c>
      <c r="H56" s="130">
        <v>450</v>
      </c>
      <c r="I56" s="131">
        <v>42</v>
      </c>
      <c r="J56" s="132" t="s">
        <v>499</v>
      </c>
      <c r="K56" s="133" t="s">
        <v>445</v>
      </c>
      <c r="L56" s="186">
        <v>5</v>
      </c>
      <c r="M56" s="29"/>
    </row>
    <row r="57" spans="1:13">
      <c r="A57" s="148" t="s">
        <v>487</v>
      </c>
      <c r="B57" s="128" t="s">
        <v>66</v>
      </c>
      <c r="C57" s="134">
        <v>4</v>
      </c>
      <c r="D57" s="135">
        <v>4</v>
      </c>
      <c r="E57" s="136">
        <v>6500</v>
      </c>
      <c r="F57" s="38" t="s">
        <v>571</v>
      </c>
      <c r="G57" s="129" t="s">
        <v>488</v>
      </c>
      <c r="H57" s="130">
        <v>500</v>
      </c>
      <c r="I57" s="131">
        <v>30</v>
      </c>
      <c r="J57" s="132" t="s">
        <v>499</v>
      </c>
      <c r="K57" s="133" t="s">
        <v>449</v>
      </c>
      <c r="L57" s="186">
        <v>5</v>
      </c>
      <c r="M57" s="29"/>
    </row>
    <row r="58" spans="1:13" ht="15.75" thickBot="1">
      <c r="A58" s="151" t="s">
        <v>489</v>
      </c>
      <c r="B58" s="152" t="s">
        <v>66</v>
      </c>
      <c r="C58" s="187">
        <v>4</v>
      </c>
      <c r="D58" s="188">
        <v>4</v>
      </c>
      <c r="E58" s="189">
        <v>6900</v>
      </c>
      <c r="F58" s="37" t="s">
        <v>571</v>
      </c>
      <c r="G58" s="153" t="s">
        <v>490</v>
      </c>
      <c r="H58" s="190">
        <v>400</v>
      </c>
      <c r="I58" s="191">
        <v>30</v>
      </c>
      <c r="J58" s="192" t="s">
        <v>499</v>
      </c>
      <c r="K58" s="193" t="s">
        <v>449</v>
      </c>
      <c r="L58" s="194">
        <v>5</v>
      </c>
      <c r="M58" s="29"/>
    </row>
    <row r="59" spans="1:13" ht="15.75" thickBot="1">
      <c r="A59" s="195" t="s">
        <v>72</v>
      </c>
      <c r="B59" s="196" t="s">
        <v>24</v>
      </c>
      <c r="C59" s="197">
        <v>2</v>
      </c>
      <c r="D59" s="198">
        <v>2</v>
      </c>
      <c r="E59" s="199">
        <v>6500</v>
      </c>
      <c r="F59" s="39" t="s">
        <v>573</v>
      </c>
      <c r="G59" s="200" t="s">
        <v>491</v>
      </c>
      <c r="H59" s="201">
        <v>150</v>
      </c>
      <c r="I59" s="202">
        <v>1</v>
      </c>
      <c r="J59" s="203">
        <v>1</v>
      </c>
      <c r="K59" s="204" t="s">
        <v>492</v>
      </c>
      <c r="L59" s="205">
        <v>5</v>
      </c>
      <c r="M59" s="29"/>
    </row>
    <row r="60" spans="1:13">
      <c r="A60" s="137" t="s">
        <v>73</v>
      </c>
      <c r="B60" s="138" t="s">
        <v>378</v>
      </c>
      <c r="C60" s="144">
        <v>4.5</v>
      </c>
      <c r="D60" s="145">
        <v>8.5</v>
      </c>
      <c r="E60" s="146">
        <v>6500</v>
      </c>
      <c r="F60" s="147" t="s">
        <v>571</v>
      </c>
      <c r="G60" s="139" t="s">
        <v>493</v>
      </c>
      <c r="H60" s="140">
        <v>180</v>
      </c>
      <c r="I60" s="141">
        <v>30</v>
      </c>
      <c r="J60" s="142" t="s">
        <v>74</v>
      </c>
      <c r="K60" s="143" t="s">
        <v>494</v>
      </c>
      <c r="L60" s="185">
        <v>6</v>
      </c>
      <c r="M60" s="29"/>
    </row>
    <row r="61" spans="1:13">
      <c r="A61" s="148" t="s">
        <v>405</v>
      </c>
      <c r="B61" s="128" t="s">
        <v>380</v>
      </c>
      <c r="C61" s="134">
        <v>7</v>
      </c>
      <c r="D61" s="135">
        <v>38</v>
      </c>
      <c r="E61" s="136">
        <v>13000</v>
      </c>
      <c r="F61" s="38" t="s">
        <v>571</v>
      </c>
      <c r="G61" s="129" t="s">
        <v>500</v>
      </c>
      <c r="H61" s="130">
        <v>200</v>
      </c>
      <c r="I61" s="131">
        <v>100</v>
      </c>
      <c r="J61" s="132" t="s">
        <v>74</v>
      </c>
      <c r="K61" s="133" t="s">
        <v>494</v>
      </c>
      <c r="L61" s="186">
        <v>9</v>
      </c>
      <c r="M61" s="29"/>
    </row>
    <row r="62" spans="1:13">
      <c r="A62" s="148" t="s">
        <v>75</v>
      </c>
      <c r="B62" s="128" t="s">
        <v>378</v>
      </c>
      <c r="C62" s="134">
        <v>5</v>
      </c>
      <c r="D62" s="135">
        <v>12</v>
      </c>
      <c r="E62" s="136">
        <v>7000</v>
      </c>
      <c r="F62" s="38" t="s">
        <v>571</v>
      </c>
      <c r="G62" s="129" t="s">
        <v>501</v>
      </c>
      <c r="H62" s="130">
        <v>200</v>
      </c>
      <c r="I62" s="131">
        <v>50</v>
      </c>
      <c r="J62" s="132" t="s">
        <v>74</v>
      </c>
      <c r="K62" s="133" t="s">
        <v>494</v>
      </c>
      <c r="L62" s="186">
        <v>7</v>
      </c>
      <c r="M62" s="29"/>
    </row>
    <row r="63" spans="1:13">
      <c r="A63" s="148" t="s">
        <v>77</v>
      </c>
      <c r="B63" s="128" t="s">
        <v>52</v>
      </c>
      <c r="C63" s="134">
        <v>4.5</v>
      </c>
      <c r="D63" s="135">
        <v>10</v>
      </c>
      <c r="E63" s="136">
        <v>8500</v>
      </c>
      <c r="F63" s="38" t="s">
        <v>571</v>
      </c>
      <c r="G63" s="129" t="s">
        <v>502</v>
      </c>
      <c r="H63" s="130">
        <v>250</v>
      </c>
      <c r="I63" s="131">
        <v>100</v>
      </c>
      <c r="J63" s="132" t="s">
        <v>74</v>
      </c>
      <c r="K63" s="133" t="s">
        <v>494</v>
      </c>
      <c r="L63" s="186">
        <v>7</v>
      </c>
      <c r="M63" s="29"/>
    </row>
    <row r="64" spans="1:13" ht="15.75" thickBot="1">
      <c r="A64" s="151" t="s">
        <v>78</v>
      </c>
      <c r="B64" s="152" t="s">
        <v>52</v>
      </c>
      <c r="C64" s="187">
        <v>4</v>
      </c>
      <c r="D64" s="188">
        <v>7</v>
      </c>
      <c r="E64" s="189">
        <v>9000</v>
      </c>
      <c r="F64" s="37" t="s">
        <v>571</v>
      </c>
      <c r="G64" s="153" t="s">
        <v>503</v>
      </c>
      <c r="H64" s="190">
        <v>200</v>
      </c>
      <c r="I64" s="191">
        <v>50</v>
      </c>
      <c r="J64" s="192" t="s">
        <v>74</v>
      </c>
      <c r="K64" s="193" t="s">
        <v>494</v>
      </c>
      <c r="L64" s="194">
        <v>6</v>
      </c>
      <c r="M64" s="29"/>
    </row>
    <row r="65" spans="1:13">
      <c r="A65" s="137" t="s">
        <v>79</v>
      </c>
      <c r="B65" s="138" t="s">
        <v>52</v>
      </c>
      <c r="C65" s="144">
        <v>5</v>
      </c>
      <c r="D65" s="145">
        <v>18</v>
      </c>
      <c r="E65" s="146">
        <v>9500</v>
      </c>
      <c r="F65" s="147" t="s">
        <v>571</v>
      </c>
      <c r="G65" s="139" t="s">
        <v>76</v>
      </c>
      <c r="H65" s="140">
        <v>150</v>
      </c>
      <c r="I65" s="141">
        <v>120</v>
      </c>
      <c r="J65" s="142" t="s">
        <v>80</v>
      </c>
      <c r="K65" s="143" t="s">
        <v>504</v>
      </c>
      <c r="L65" s="185">
        <v>8</v>
      </c>
      <c r="M65" s="29"/>
    </row>
    <row r="66" spans="1:13">
      <c r="A66" s="148" t="s">
        <v>575</v>
      </c>
      <c r="B66" s="128" t="s">
        <v>53</v>
      </c>
      <c r="C66" s="134">
        <v>4.5</v>
      </c>
      <c r="D66" s="135">
        <v>6</v>
      </c>
      <c r="E66" s="136">
        <v>50000</v>
      </c>
      <c r="F66" s="38" t="s">
        <v>571</v>
      </c>
      <c r="G66" s="129" t="s">
        <v>197</v>
      </c>
      <c r="H66" s="130">
        <v>150</v>
      </c>
      <c r="I66" s="131">
        <v>800</v>
      </c>
      <c r="J66" s="132" t="s">
        <v>82</v>
      </c>
      <c r="K66" s="133" t="s">
        <v>504</v>
      </c>
      <c r="L66" s="186">
        <v>6</v>
      </c>
      <c r="M66" s="29"/>
    </row>
    <row r="67" spans="1:13">
      <c r="A67" s="148" t="s">
        <v>505</v>
      </c>
      <c r="B67" s="128" t="s">
        <v>66</v>
      </c>
      <c r="C67" s="134">
        <v>5</v>
      </c>
      <c r="D67" s="135">
        <v>14</v>
      </c>
      <c r="E67" s="136">
        <v>8500</v>
      </c>
      <c r="F67" s="38" t="s">
        <v>571</v>
      </c>
      <c r="G67" s="129" t="s">
        <v>506</v>
      </c>
      <c r="H67" s="130">
        <v>100</v>
      </c>
      <c r="I67" s="131">
        <v>120</v>
      </c>
      <c r="J67" s="132" t="s">
        <v>80</v>
      </c>
      <c r="K67" s="133" t="s">
        <v>504</v>
      </c>
      <c r="L67" s="186">
        <v>7</v>
      </c>
      <c r="M67" s="29"/>
    </row>
    <row r="68" spans="1:13" ht="15.75" customHeight="1" thickBot="1">
      <c r="A68" s="151" t="s">
        <v>83</v>
      </c>
      <c r="B68" s="152" t="s">
        <v>52</v>
      </c>
      <c r="C68" s="187">
        <v>5</v>
      </c>
      <c r="D68" s="188">
        <v>16</v>
      </c>
      <c r="E68" s="189">
        <v>11000</v>
      </c>
      <c r="F68" s="37" t="s">
        <v>571</v>
      </c>
      <c r="G68" s="153" t="s">
        <v>198</v>
      </c>
      <c r="H68" s="190">
        <v>180</v>
      </c>
      <c r="I68" s="191">
        <v>120</v>
      </c>
      <c r="J68" s="192" t="s">
        <v>84</v>
      </c>
      <c r="K68" s="193" t="s">
        <v>504</v>
      </c>
      <c r="L68" s="194">
        <v>8</v>
      </c>
      <c r="M68" s="29"/>
    </row>
    <row r="69" spans="1:13" ht="21.75" customHeight="1">
      <c r="A69" s="137" t="s">
        <v>85</v>
      </c>
      <c r="B69" s="138" t="s">
        <v>86</v>
      </c>
      <c r="C69" s="144">
        <v>4</v>
      </c>
      <c r="D69" s="145">
        <v>10</v>
      </c>
      <c r="E69" s="146">
        <v>12000</v>
      </c>
      <c r="F69" s="147" t="s">
        <v>573</v>
      </c>
      <c r="G69" s="139" t="s">
        <v>507</v>
      </c>
      <c r="H69" s="140">
        <v>180</v>
      </c>
      <c r="I69" s="141">
        <v>1</v>
      </c>
      <c r="J69" s="142">
        <v>1</v>
      </c>
      <c r="K69" s="143" t="s">
        <v>508</v>
      </c>
      <c r="L69" s="185">
        <v>6</v>
      </c>
      <c r="M69" s="29"/>
    </row>
    <row r="70" spans="1:13" ht="15.75" thickBot="1">
      <c r="A70" s="151" t="s">
        <v>87</v>
      </c>
      <c r="B70" s="152" t="s">
        <v>86</v>
      </c>
      <c r="C70" s="187">
        <v>8</v>
      </c>
      <c r="D70" s="188">
        <v>61</v>
      </c>
      <c r="E70" s="189">
        <v>10000</v>
      </c>
      <c r="F70" s="37" t="s">
        <v>573</v>
      </c>
      <c r="G70" s="153" t="s">
        <v>509</v>
      </c>
      <c r="H70" s="190">
        <v>2500</v>
      </c>
      <c r="I70" s="191">
        <v>1</v>
      </c>
      <c r="J70" s="192">
        <v>1</v>
      </c>
      <c r="K70" s="193" t="s">
        <v>510</v>
      </c>
      <c r="L70" s="194"/>
      <c r="M70" s="29"/>
    </row>
    <row r="71" spans="1:13">
      <c r="A71" s="137" t="s">
        <v>88</v>
      </c>
      <c r="B71" s="138" t="s">
        <v>89</v>
      </c>
      <c r="C71" s="144">
        <v>0.5</v>
      </c>
      <c r="D71" s="145">
        <v>0.5</v>
      </c>
      <c r="E71" s="146" t="s">
        <v>91</v>
      </c>
      <c r="F71" s="147" t="s">
        <v>572</v>
      </c>
      <c r="G71" s="139" t="s">
        <v>90</v>
      </c>
      <c r="H71" s="140">
        <v>100</v>
      </c>
      <c r="I71" s="141">
        <v>30</v>
      </c>
      <c r="J71" s="142">
        <v>1</v>
      </c>
      <c r="K71" s="143" t="s">
        <v>511</v>
      </c>
      <c r="L71" s="185">
        <v>2</v>
      </c>
      <c r="M71" s="29"/>
    </row>
    <row r="72" spans="1:13">
      <c r="A72" s="148" t="s">
        <v>92</v>
      </c>
      <c r="B72" s="128" t="s">
        <v>89</v>
      </c>
      <c r="C72" s="134">
        <v>1</v>
      </c>
      <c r="D72" s="135">
        <v>0.5</v>
      </c>
      <c r="E72" s="136">
        <v>6000</v>
      </c>
      <c r="F72" s="38" t="s">
        <v>576</v>
      </c>
      <c r="G72" s="129" t="s">
        <v>93</v>
      </c>
      <c r="H72" s="130">
        <v>80</v>
      </c>
      <c r="I72" s="131">
        <v>16</v>
      </c>
      <c r="J72" s="132">
        <v>1</v>
      </c>
      <c r="K72" s="133" t="s">
        <v>437</v>
      </c>
      <c r="L72" s="186">
        <v>2</v>
      </c>
      <c r="M72" s="29"/>
    </row>
    <row r="73" spans="1:13">
      <c r="A73" s="148" t="s">
        <v>95</v>
      </c>
      <c r="B73" s="128" t="s">
        <v>89</v>
      </c>
      <c r="C73" s="134">
        <v>1</v>
      </c>
      <c r="D73" s="135">
        <v>0.5</v>
      </c>
      <c r="E73" s="136">
        <v>7000</v>
      </c>
      <c r="F73" s="38" t="s">
        <v>576</v>
      </c>
      <c r="G73" s="129" t="s">
        <v>94</v>
      </c>
      <c r="H73" s="130">
        <v>100</v>
      </c>
      <c r="I73" s="131">
        <v>32</v>
      </c>
      <c r="J73" s="132">
        <v>1</v>
      </c>
      <c r="K73" s="133" t="s">
        <v>437</v>
      </c>
      <c r="L73" s="186">
        <v>2</v>
      </c>
      <c r="M73" s="29"/>
    </row>
    <row r="74" spans="1:13">
      <c r="A74" s="148" t="s">
        <v>97</v>
      </c>
      <c r="B74" s="128" t="s">
        <v>89</v>
      </c>
      <c r="C74" s="134">
        <v>1.5</v>
      </c>
      <c r="D74" s="135">
        <v>0.5</v>
      </c>
      <c r="E74" s="136">
        <v>5000</v>
      </c>
      <c r="F74" s="38" t="s">
        <v>572</v>
      </c>
      <c r="G74" s="129" t="s">
        <v>98</v>
      </c>
      <c r="H74" s="130">
        <v>20</v>
      </c>
      <c r="I74" s="131">
        <v>10</v>
      </c>
      <c r="J74" s="132">
        <v>1</v>
      </c>
      <c r="K74" s="133" t="s">
        <v>456</v>
      </c>
      <c r="L74" s="186">
        <v>2</v>
      </c>
      <c r="M74" s="29"/>
    </row>
    <row r="75" spans="1:13">
      <c r="A75" s="148" t="s">
        <v>407</v>
      </c>
      <c r="B75" s="128" t="s">
        <v>89</v>
      </c>
      <c r="C75" s="134">
        <v>1</v>
      </c>
      <c r="D75" s="135">
        <v>0.5</v>
      </c>
      <c r="E75" s="136">
        <v>3500</v>
      </c>
      <c r="F75" s="38" t="s">
        <v>577</v>
      </c>
      <c r="G75" s="129" t="s">
        <v>440</v>
      </c>
      <c r="H75" s="130">
        <v>150</v>
      </c>
      <c r="I75" s="131">
        <v>12</v>
      </c>
      <c r="J75" s="132">
        <v>1</v>
      </c>
      <c r="K75" s="133" t="s">
        <v>436</v>
      </c>
      <c r="L75" s="186">
        <v>2</v>
      </c>
      <c r="M75" s="29"/>
    </row>
    <row r="76" spans="1:13">
      <c r="A76" s="148" t="s">
        <v>406</v>
      </c>
      <c r="B76" s="128" t="s">
        <v>89</v>
      </c>
      <c r="C76" s="134">
        <v>1</v>
      </c>
      <c r="D76" s="135">
        <v>1</v>
      </c>
      <c r="E76" s="136">
        <v>4750</v>
      </c>
      <c r="F76" s="38" t="s">
        <v>577</v>
      </c>
      <c r="G76" s="129" t="s">
        <v>512</v>
      </c>
      <c r="H76" s="130">
        <v>150</v>
      </c>
      <c r="I76" s="131">
        <v>24</v>
      </c>
      <c r="J76" s="132">
        <v>1</v>
      </c>
      <c r="K76" s="133" t="s">
        <v>436</v>
      </c>
      <c r="L76" s="186">
        <v>2</v>
      </c>
      <c r="M76" s="29"/>
    </row>
    <row r="77" spans="1:13" ht="16.5" customHeight="1">
      <c r="A77" s="148" t="s">
        <v>513</v>
      </c>
      <c r="B77" s="128" t="s">
        <v>96</v>
      </c>
      <c r="C77" s="134">
        <v>2.5</v>
      </c>
      <c r="D77" s="135">
        <v>2</v>
      </c>
      <c r="E77" s="136">
        <v>10000</v>
      </c>
      <c r="F77" s="38" t="s">
        <v>574</v>
      </c>
      <c r="G77" s="129" t="s">
        <v>514</v>
      </c>
      <c r="H77" s="130">
        <v>30</v>
      </c>
      <c r="I77" s="149" t="s">
        <v>515</v>
      </c>
      <c r="J77" s="132">
        <v>1</v>
      </c>
      <c r="K77" s="133" t="s">
        <v>456</v>
      </c>
      <c r="L77" s="186">
        <v>3</v>
      </c>
      <c r="M77" s="29"/>
    </row>
    <row r="78" spans="1:13" ht="16.5" customHeight="1" thickBot="1">
      <c r="A78" s="151" t="s">
        <v>99</v>
      </c>
      <c r="B78" s="152" t="s">
        <v>89</v>
      </c>
      <c r="C78" s="187">
        <v>1</v>
      </c>
      <c r="D78" s="188">
        <v>1</v>
      </c>
      <c r="E78" s="189">
        <v>12500</v>
      </c>
      <c r="F78" s="37" t="s">
        <v>578</v>
      </c>
      <c r="G78" s="153" t="s">
        <v>516</v>
      </c>
      <c r="H78" s="190">
        <v>30</v>
      </c>
      <c r="I78" s="191">
        <v>5</v>
      </c>
      <c r="J78" s="192">
        <v>1</v>
      </c>
      <c r="K78" s="193" t="s">
        <v>436</v>
      </c>
      <c r="L78" s="194">
        <v>2</v>
      </c>
      <c r="M78" s="29"/>
    </row>
    <row r="79" spans="1:13">
      <c r="A79" s="137" t="s">
        <v>102</v>
      </c>
      <c r="B79" s="138" t="s">
        <v>96</v>
      </c>
      <c r="C79" s="144">
        <v>4</v>
      </c>
      <c r="D79" s="145">
        <v>5</v>
      </c>
      <c r="E79" s="146">
        <v>16000</v>
      </c>
      <c r="F79" s="147" t="s">
        <v>576</v>
      </c>
      <c r="G79" s="139" t="s">
        <v>101</v>
      </c>
      <c r="H79" s="140">
        <v>150</v>
      </c>
      <c r="I79" s="141">
        <v>10</v>
      </c>
      <c r="J79" s="142">
        <v>1</v>
      </c>
      <c r="K79" s="143" t="s">
        <v>437</v>
      </c>
      <c r="L79" s="185">
        <v>5</v>
      </c>
      <c r="M79" s="29"/>
    </row>
    <row r="80" spans="1:13">
      <c r="A80" s="148" t="s">
        <v>519</v>
      </c>
      <c r="B80" s="128" t="s">
        <v>96</v>
      </c>
      <c r="C80" s="134">
        <v>4</v>
      </c>
      <c r="D80" s="135">
        <v>6</v>
      </c>
      <c r="E80" s="136">
        <v>18000</v>
      </c>
      <c r="F80" s="38" t="s">
        <v>576</v>
      </c>
      <c r="G80" s="129" t="s">
        <v>103</v>
      </c>
      <c r="H80" s="130">
        <v>150</v>
      </c>
      <c r="I80" s="131">
        <v>20</v>
      </c>
      <c r="J80" s="132">
        <v>1</v>
      </c>
      <c r="K80" s="133" t="s">
        <v>437</v>
      </c>
      <c r="L80" s="186">
        <v>5</v>
      </c>
      <c r="M80" s="29"/>
    </row>
    <row r="81" spans="1:13" ht="15.75" customHeight="1">
      <c r="A81" s="148" t="s">
        <v>104</v>
      </c>
      <c r="B81" s="128" t="s">
        <v>96</v>
      </c>
      <c r="C81" s="134">
        <v>3</v>
      </c>
      <c r="D81" s="135">
        <v>3.5</v>
      </c>
      <c r="E81" s="136">
        <v>25000</v>
      </c>
      <c r="F81" s="38" t="s">
        <v>578</v>
      </c>
      <c r="G81" s="129" t="s">
        <v>517</v>
      </c>
      <c r="H81" s="130">
        <v>100</v>
      </c>
      <c r="I81" s="131">
        <v>8</v>
      </c>
      <c r="J81" s="132">
        <v>1</v>
      </c>
      <c r="K81" s="133" t="s">
        <v>436</v>
      </c>
      <c r="L81" s="186">
        <v>4</v>
      </c>
      <c r="M81" s="29"/>
    </row>
    <row r="82" spans="1:13" ht="18" customHeight="1">
      <c r="A82" s="148" t="s">
        <v>105</v>
      </c>
      <c r="B82" s="128" t="s">
        <v>96</v>
      </c>
      <c r="C82" s="134">
        <v>3</v>
      </c>
      <c r="D82" s="135">
        <v>3.5</v>
      </c>
      <c r="E82" s="136">
        <v>45000</v>
      </c>
      <c r="F82" s="38" t="s">
        <v>578</v>
      </c>
      <c r="G82" s="129" t="s">
        <v>518</v>
      </c>
      <c r="H82" s="130">
        <v>150</v>
      </c>
      <c r="I82" s="131">
        <v>10</v>
      </c>
      <c r="J82" s="132">
        <v>1</v>
      </c>
      <c r="K82" s="133" t="s">
        <v>437</v>
      </c>
      <c r="L82" s="186">
        <v>4</v>
      </c>
      <c r="M82" s="29"/>
    </row>
    <row r="83" spans="1:13" ht="21" customHeight="1">
      <c r="A83" s="148" t="s">
        <v>408</v>
      </c>
      <c r="B83" s="128" t="s">
        <v>96</v>
      </c>
      <c r="C83" s="134">
        <v>4</v>
      </c>
      <c r="D83" s="135">
        <v>5</v>
      </c>
      <c r="E83" s="136">
        <v>9000</v>
      </c>
      <c r="F83" s="38" t="s">
        <v>577</v>
      </c>
      <c r="G83" s="129" t="s">
        <v>100</v>
      </c>
      <c r="H83" s="130">
        <v>1500</v>
      </c>
      <c r="I83" s="131">
        <v>12</v>
      </c>
      <c r="J83" s="132">
        <v>1</v>
      </c>
      <c r="K83" s="133" t="s">
        <v>437</v>
      </c>
      <c r="L83" s="186">
        <v>5</v>
      </c>
      <c r="M83" s="29"/>
    </row>
    <row r="84" spans="1:13" ht="15.75" thickBot="1">
      <c r="A84" s="151" t="s">
        <v>409</v>
      </c>
      <c r="B84" s="152" t="s">
        <v>96</v>
      </c>
      <c r="C84" s="187">
        <v>4.5</v>
      </c>
      <c r="D84" s="188">
        <v>5.5</v>
      </c>
      <c r="E84" s="189">
        <v>12500</v>
      </c>
      <c r="F84" s="37" t="s">
        <v>577</v>
      </c>
      <c r="G84" s="153" t="s">
        <v>520</v>
      </c>
      <c r="H84" s="190">
        <v>2000</v>
      </c>
      <c r="I84" s="191">
        <v>24</v>
      </c>
      <c r="J84" s="192">
        <v>1</v>
      </c>
      <c r="K84" s="193" t="s">
        <v>437</v>
      </c>
      <c r="L84" s="194">
        <v>5</v>
      </c>
      <c r="M84" s="29"/>
    </row>
    <row r="85" spans="1:13">
      <c r="A85" s="137" t="s">
        <v>522</v>
      </c>
      <c r="B85" s="138" t="s">
        <v>523</v>
      </c>
      <c r="C85" s="144">
        <v>5</v>
      </c>
      <c r="D85" s="145">
        <v>8</v>
      </c>
      <c r="E85" s="146">
        <v>6000</v>
      </c>
      <c r="F85" s="147" t="s">
        <v>574</v>
      </c>
      <c r="G85" s="139" t="s">
        <v>491</v>
      </c>
      <c r="H85" s="140">
        <v>12</v>
      </c>
      <c r="I85" s="141">
        <v>3</v>
      </c>
      <c r="J85" s="142">
        <v>1</v>
      </c>
      <c r="K85" s="143" t="s">
        <v>508</v>
      </c>
      <c r="L85" s="185">
        <v>7</v>
      </c>
      <c r="M85" s="29"/>
    </row>
    <row r="86" spans="1:13" ht="15.75" customHeight="1">
      <c r="A86" s="148" t="s">
        <v>524</v>
      </c>
      <c r="B86" s="128" t="s">
        <v>523</v>
      </c>
      <c r="C86" s="134">
        <v>5</v>
      </c>
      <c r="D86" s="135">
        <v>6</v>
      </c>
      <c r="E86" s="136">
        <v>7500</v>
      </c>
      <c r="F86" s="38" t="s">
        <v>574</v>
      </c>
      <c r="G86" s="129" t="s">
        <v>195</v>
      </c>
      <c r="H86" s="130">
        <v>20</v>
      </c>
      <c r="I86" s="131">
        <v>6</v>
      </c>
      <c r="J86" s="132">
        <v>1</v>
      </c>
      <c r="K86" s="133" t="s">
        <v>508</v>
      </c>
      <c r="L86" s="186">
        <v>6</v>
      </c>
      <c r="M86" s="29"/>
    </row>
    <row r="87" spans="1:13" ht="15.75" thickBot="1">
      <c r="A87" s="151" t="s">
        <v>106</v>
      </c>
      <c r="B87" s="152" t="s">
        <v>96</v>
      </c>
      <c r="C87" s="187">
        <v>4.5</v>
      </c>
      <c r="D87" s="188">
        <v>8</v>
      </c>
      <c r="E87" s="189">
        <v>14000</v>
      </c>
      <c r="F87" s="37" t="s">
        <v>577</v>
      </c>
      <c r="G87" s="153" t="s">
        <v>521</v>
      </c>
      <c r="H87" s="190">
        <v>200</v>
      </c>
      <c r="I87" s="191">
        <v>30</v>
      </c>
      <c r="J87" s="192">
        <v>5</v>
      </c>
      <c r="K87" s="193" t="s">
        <v>494</v>
      </c>
      <c r="L87" s="194">
        <v>6</v>
      </c>
      <c r="M87" s="29"/>
    </row>
    <row r="88" spans="1:13">
      <c r="A88" s="137" t="s">
        <v>109</v>
      </c>
      <c r="B88" s="138" t="s">
        <v>81</v>
      </c>
      <c r="C88" s="144">
        <v>1</v>
      </c>
      <c r="D88" s="145">
        <v>0.5</v>
      </c>
      <c r="E88" s="146">
        <v>50</v>
      </c>
      <c r="F88" s="147" t="s">
        <v>571</v>
      </c>
      <c r="G88" s="139" t="s">
        <v>110</v>
      </c>
      <c r="H88" s="140"/>
      <c r="I88" s="141"/>
      <c r="J88" s="142" t="s">
        <v>81</v>
      </c>
      <c r="K88" s="143" t="s">
        <v>511</v>
      </c>
      <c r="L88" s="185">
        <v>3</v>
      </c>
      <c r="M88" s="29"/>
    </row>
    <row r="89" spans="1:13">
      <c r="A89" s="148" t="s">
        <v>527</v>
      </c>
      <c r="B89" s="128"/>
      <c r="C89" s="134">
        <v>0.5</v>
      </c>
      <c r="D89" s="135">
        <v>0.1</v>
      </c>
      <c r="E89" s="136">
        <v>60</v>
      </c>
      <c r="F89" s="38" t="s">
        <v>571</v>
      </c>
      <c r="G89" s="129" t="s">
        <v>108</v>
      </c>
      <c r="H89" s="130"/>
      <c r="I89" s="131"/>
      <c r="J89" s="132"/>
      <c r="K89" s="133" t="s">
        <v>511</v>
      </c>
      <c r="L89" s="186">
        <v>3</v>
      </c>
      <c r="M89" s="29"/>
    </row>
    <row r="90" spans="1:13">
      <c r="A90" s="148" t="s">
        <v>528</v>
      </c>
      <c r="B90" s="128"/>
      <c r="C90" s="134">
        <v>0.5</v>
      </c>
      <c r="D90" s="135">
        <v>0.2</v>
      </c>
      <c r="E90" s="136">
        <v>75</v>
      </c>
      <c r="F90" s="38" t="s">
        <v>571</v>
      </c>
      <c r="G90" s="129" t="s">
        <v>525</v>
      </c>
      <c r="H90" s="130"/>
      <c r="I90" s="131"/>
      <c r="J90" s="132"/>
      <c r="K90" s="133" t="s">
        <v>511</v>
      </c>
      <c r="L90" s="186">
        <v>3</v>
      </c>
      <c r="M90" s="29"/>
    </row>
    <row r="91" spans="1:13">
      <c r="A91" s="148" t="s">
        <v>107</v>
      </c>
      <c r="B91" s="128"/>
      <c r="C91" s="134">
        <v>1</v>
      </c>
      <c r="D91" s="135">
        <v>0.5</v>
      </c>
      <c r="E91" s="136">
        <v>90</v>
      </c>
      <c r="F91" s="38" t="s">
        <v>571</v>
      </c>
      <c r="G91" s="129" t="s">
        <v>526</v>
      </c>
      <c r="H91" s="130"/>
      <c r="I91" s="131"/>
      <c r="J91" s="132"/>
      <c r="K91" s="133" t="s">
        <v>511</v>
      </c>
      <c r="L91" s="186">
        <v>3</v>
      </c>
      <c r="M91" s="29"/>
    </row>
    <row r="92" spans="1:13" ht="20.25" customHeight="1">
      <c r="A92" s="148" t="s">
        <v>529</v>
      </c>
      <c r="B92" s="128"/>
      <c r="C92" s="134"/>
      <c r="D92" s="135"/>
      <c r="E92" s="136">
        <v>200</v>
      </c>
      <c r="F92" s="38" t="s">
        <v>571</v>
      </c>
      <c r="G92" s="129" t="s">
        <v>111</v>
      </c>
      <c r="H92" s="130"/>
      <c r="I92" s="131"/>
      <c r="J92" s="132"/>
      <c r="K92" s="133" t="s">
        <v>511</v>
      </c>
      <c r="L92" s="186"/>
      <c r="M92" s="29"/>
    </row>
    <row r="93" spans="1:13">
      <c r="A93" s="148" t="s">
        <v>530</v>
      </c>
      <c r="B93" s="128"/>
      <c r="C93" s="134">
        <v>1</v>
      </c>
      <c r="D93" s="135">
        <v>1</v>
      </c>
      <c r="E93" s="136">
        <v>400</v>
      </c>
      <c r="F93" s="38" t="s">
        <v>571</v>
      </c>
      <c r="G93" s="129" t="s">
        <v>111</v>
      </c>
      <c r="H93" s="130"/>
      <c r="I93" s="131"/>
      <c r="J93" s="132"/>
      <c r="K93" s="133" t="s">
        <v>511</v>
      </c>
      <c r="L93" s="186">
        <v>3</v>
      </c>
      <c r="M93" s="29"/>
    </row>
    <row r="94" spans="1:13">
      <c r="A94" s="148" t="s">
        <v>113</v>
      </c>
      <c r="B94" s="128"/>
      <c r="C94" s="134">
        <v>1</v>
      </c>
      <c r="D94" s="135">
        <v>0.5</v>
      </c>
      <c r="E94" s="136">
        <v>1000</v>
      </c>
      <c r="F94" s="38" t="s">
        <v>571</v>
      </c>
      <c r="G94" s="129" t="s">
        <v>532</v>
      </c>
      <c r="H94" s="130"/>
      <c r="I94" s="131"/>
      <c r="J94" s="132"/>
      <c r="K94" s="133" t="s">
        <v>511</v>
      </c>
      <c r="L94" s="186">
        <v>3</v>
      </c>
      <c r="M94" s="29"/>
    </row>
    <row r="95" spans="1:13">
      <c r="A95" s="148" t="s">
        <v>114</v>
      </c>
      <c r="B95" s="128"/>
      <c r="C95" s="134">
        <v>1</v>
      </c>
      <c r="D95" s="135">
        <v>1</v>
      </c>
      <c r="E95" s="136">
        <v>3000</v>
      </c>
      <c r="F95" s="38" t="s">
        <v>571</v>
      </c>
      <c r="G95" s="129" t="s">
        <v>531</v>
      </c>
      <c r="H95" s="130"/>
      <c r="I95" s="131">
        <v>5</v>
      </c>
      <c r="J95" s="132">
        <v>1</v>
      </c>
      <c r="K95" s="133" t="s">
        <v>436</v>
      </c>
      <c r="L95" s="186">
        <v>4</v>
      </c>
      <c r="M95" s="29"/>
    </row>
    <row r="96" spans="1:13" ht="15.75" thickBot="1">
      <c r="A96" s="151" t="s">
        <v>533</v>
      </c>
      <c r="B96" s="152"/>
      <c r="C96" s="187">
        <v>1</v>
      </c>
      <c r="D96" s="188">
        <v>1</v>
      </c>
      <c r="E96" s="189">
        <v>5000</v>
      </c>
      <c r="F96" s="37" t="s">
        <v>571</v>
      </c>
      <c r="G96" s="153" t="s">
        <v>534</v>
      </c>
      <c r="H96" s="190"/>
      <c r="I96" s="191">
        <v>5</v>
      </c>
      <c r="J96" s="192">
        <v>1</v>
      </c>
      <c r="K96" s="193" t="s">
        <v>436</v>
      </c>
      <c r="L96" s="194">
        <v>5</v>
      </c>
      <c r="M96" s="29"/>
    </row>
    <row r="97" spans="1:18">
      <c r="A97" s="137" t="s">
        <v>411</v>
      </c>
      <c r="B97" s="138"/>
      <c r="C97" s="144">
        <v>2</v>
      </c>
      <c r="D97" s="145">
        <v>2</v>
      </c>
      <c r="E97" s="146">
        <v>50</v>
      </c>
      <c r="F97" s="147" t="s">
        <v>571</v>
      </c>
      <c r="G97" s="139" t="s">
        <v>535</v>
      </c>
      <c r="H97" s="140"/>
      <c r="I97" s="141"/>
      <c r="J97" s="142"/>
      <c r="K97" s="143" t="s">
        <v>436</v>
      </c>
      <c r="L97" s="185">
        <v>3</v>
      </c>
      <c r="M97" s="29"/>
    </row>
    <row r="98" spans="1:18">
      <c r="A98" s="148" t="s">
        <v>410</v>
      </c>
      <c r="B98" s="128"/>
      <c r="C98" s="134">
        <v>1</v>
      </c>
      <c r="D98" s="135">
        <v>1</v>
      </c>
      <c r="E98" s="136">
        <v>50</v>
      </c>
      <c r="F98" s="38" t="s">
        <v>571</v>
      </c>
      <c r="G98" s="129" t="s">
        <v>116</v>
      </c>
      <c r="H98" s="130"/>
      <c r="I98" s="131"/>
      <c r="J98" s="132"/>
      <c r="K98" s="133" t="s">
        <v>436</v>
      </c>
      <c r="L98" s="186">
        <v>3</v>
      </c>
      <c r="M98" s="29"/>
    </row>
    <row r="99" spans="1:18" ht="22.5" customHeight="1">
      <c r="A99" s="148" t="s">
        <v>117</v>
      </c>
      <c r="B99" s="128"/>
      <c r="C99" s="134">
        <v>1</v>
      </c>
      <c r="D99" s="135">
        <v>0.5</v>
      </c>
      <c r="E99" s="136">
        <v>80</v>
      </c>
      <c r="F99" s="38" t="s">
        <v>571</v>
      </c>
      <c r="G99" s="129" t="s">
        <v>536</v>
      </c>
      <c r="H99" s="130"/>
      <c r="I99" s="131"/>
      <c r="J99" s="132"/>
      <c r="K99" s="133" t="s">
        <v>436</v>
      </c>
      <c r="L99" s="186">
        <v>3</v>
      </c>
      <c r="M99" s="29"/>
    </row>
    <row r="100" spans="1:18">
      <c r="A100" s="148" t="s">
        <v>412</v>
      </c>
      <c r="B100" s="128"/>
      <c r="C100" s="134">
        <v>0.5</v>
      </c>
      <c r="D100" s="135">
        <v>0.2</v>
      </c>
      <c r="E100" s="136">
        <v>60</v>
      </c>
      <c r="F100" s="38" t="s">
        <v>571</v>
      </c>
      <c r="G100" s="129" t="s">
        <v>537</v>
      </c>
      <c r="H100" s="130"/>
      <c r="I100" s="131"/>
      <c r="J100" s="132"/>
      <c r="K100" s="133" t="s">
        <v>436</v>
      </c>
      <c r="L100" s="186">
        <v>3</v>
      </c>
      <c r="M100" s="29"/>
    </row>
    <row r="101" spans="1:18">
      <c r="A101" s="148" t="s">
        <v>413</v>
      </c>
      <c r="B101" s="128"/>
      <c r="C101" s="134">
        <v>0.5</v>
      </c>
      <c r="D101" s="135">
        <v>0.3</v>
      </c>
      <c r="E101" s="136">
        <v>120</v>
      </c>
      <c r="F101" s="38" t="s">
        <v>571</v>
      </c>
      <c r="G101" s="129" t="s">
        <v>121</v>
      </c>
      <c r="H101" s="130"/>
      <c r="I101" s="131"/>
      <c r="J101" s="132"/>
      <c r="K101" s="133" t="s">
        <v>436</v>
      </c>
      <c r="L101" s="186">
        <v>3</v>
      </c>
      <c r="M101" s="29"/>
    </row>
    <row r="102" spans="1:18">
      <c r="A102" s="148" t="s">
        <v>414</v>
      </c>
      <c r="B102" s="128"/>
      <c r="C102" s="134">
        <v>2</v>
      </c>
      <c r="D102" s="135">
        <v>4</v>
      </c>
      <c r="E102" s="136">
        <v>400</v>
      </c>
      <c r="F102" s="38" t="s">
        <v>571</v>
      </c>
      <c r="G102" s="129" t="s">
        <v>120</v>
      </c>
      <c r="H102" s="130"/>
      <c r="I102" s="131"/>
      <c r="J102" s="132"/>
      <c r="K102" s="133" t="s">
        <v>436</v>
      </c>
      <c r="L102" s="186">
        <v>4</v>
      </c>
      <c r="M102" s="29"/>
    </row>
    <row r="103" spans="1:18" ht="21" customHeight="1">
      <c r="A103" s="148" t="s">
        <v>415</v>
      </c>
      <c r="B103" s="128"/>
      <c r="C103" s="134">
        <v>1</v>
      </c>
      <c r="D103" s="135">
        <v>1</v>
      </c>
      <c r="E103" s="136">
        <v>1500</v>
      </c>
      <c r="F103" s="38" t="s">
        <v>571</v>
      </c>
      <c r="G103" s="129" t="s">
        <v>538</v>
      </c>
      <c r="H103" s="130"/>
      <c r="I103" s="131">
        <v>250</v>
      </c>
      <c r="J103" s="132">
        <v>1</v>
      </c>
      <c r="K103" s="133" t="s">
        <v>436</v>
      </c>
      <c r="L103" s="186">
        <v>3</v>
      </c>
      <c r="M103" s="29"/>
    </row>
    <row r="104" spans="1:18" s="36" customFormat="1">
      <c r="A104" s="150" t="b">
        <v>0</v>
      </c>
      <c r="B104" s="128"/>
      <c r="C104" s="134">
        <v>4</v>
      </c>
      <c r="D104" s="135">
        <v>2</v>
      </c>
      <c r="E104" s="136">
        <v>250</v>
      </c>
      <c r="F104" s="38" t="s">
        <v>571</v>
      </c>
      <c r="G104" s="129" t="s">
        <v>539</v>
      </c>
      <c r="H104" s="130"/>
      <c r="I104" s="131"/>
      <c r="J104" s="132"/>
      <c r="K104" s="133" t="s">
        <v>436</v>
      </c>
      <c r="L104" s="186">
        <v>4</v>
      </c>
      <c r="M104" s="29"/>
      <c r="N104" s="29"/>
      <c r="O104" s="29"/>
      <c r="P104" s="29"/>
      <c r="Q104" s="29"/>
      <c r="R104" s="29"/>
    </row>
    <row r="105" spans="1:18" s="36" customFormat="1">
      <c r="A105" s="148" t="s">
        <v>540</v>
      </c>
      <c r="B105" s="128"/>
      <c r="C105" s="134">
        <v>2</v>
      </c>
      <c r="D105" s="135">
        <v>1</v>
      </c>
      <c r="E105" s="136">
        <v>950</v>
      </c>
      <c r="F105" s="38" t="s">
        <v>571</v>
      </c>
      <c r="G105" s="129" t="s">
        <v>541</v>
      </c>
      <c r="H105" s="130"/>
      <c r="I105" s="131"/>
      <c r="J105" s="132"/>
      <c r="K105" s="133" t="s">
        <v>436</v>
      </c>
      <c r="L105" s="186">
        <v>3</v>
      </c>
    </row>
    <row r="106" spans="1:18" s="36" customFormat="1">
      <c r="A106" s="148" t="s">
        <v>416</v>
      </c>
      <c r="B106" s="128"/>
      <c r="C106" s="134">
        <v>3</v>
      </c>
      <c r="D106" s="135">
        <v>3</v>
      </c>
      <c r="E106" s="136">
        <v>20</v>
      </c>
      <c r="F106" s="38" t="s">
        <v>571</v>
      </c>
      <c r="G106" s="129" t="s">
        <v>119</v>
      </c>
      <c r="H106" s="130"/>
      <c r="I106" s="131"/>
      <c r="J106" s="132"/>
      <c r="K106" s="133" t="s">
        <v>436</v>
      </c>
      <c r="L106" s="186">
        <v>3</v>
      </c>
    </row>
    <row r="107" spans="1:18" s="36" customFormat="1">
      <c r="A107" s="148" t="s">
        <v>417</v>
      </c>
      <c r="B107" s="128"/>
      <c r="C107" s="134">
        <v>1.5</v>
      </c>
      <c r="D107" s="135">
        <v>1</v>
      </c>
      <c r="E107" s="136">
        <v>130</v>
      </c>
      <c r="F107" s="38" t="s">
        <v>571</v>
      </c>
      <c r="G107" s="129" t="s">
        <v>542</v>
      </c>
      <c r="H107" s="130"/>
      <c r="I107" s="131"/>
      <c r="J107" s="132"/>
      <c r="K107" s="133"/>
      <c r="L107" s="186"/>
    </row>
    <row r="108" spans="1:18" s="36" customFormat="1">
      <c r="A108" s="148" t="s">
        <v>543</v>
      </c>
      <c r="B108" s="128"/>
      <c r="C108" s="134">
        <v>2</v>
      </c>
      <c r="D108" s="135">
        <v>2</v>
      </c>
      <c r="E108" s="136">
        <v>200</v>
      </c>
      <c r="F108" s="38" t="s">
        <v>571</v>
      </c>
      <c r="G108" s="129" t="s">
        <v>539</v>
      </c>
      <c r="H108" s="130"/>
      <c r="I108" s="131"/>
      <c r="J108" s="132"/>
      <c r="K108" s="133" t="s">
        <v>436</v>
      </c>
      <c r="L108" s="186">
        <v>3</v>
      </c>
    </row>
    <row r="109" spans="1:18" s="36" customFormat="1">
      <c r="A109" s="148" t="s">
        <v>418</v>
      </c>
      <c r="B109" s="128"/>
      <c r="C109" s="134">
        <v>2</v>
      </c>
      <c r="D109" s="135">
        <v>2</v>
      </c>
      <c r="E109" s="136">
        <v>2500</v>
      </c>
      <c r="F109" s="38" t="s">
        <v>578</v>
      </c>
      <c r="G109" s="129" t="s">
        <v>544</v>
      </c>
      <c r="H109" s="130"/>
      <c r="I109" s="131"/>
      <c r="J109" s="132"/>
      <c r="K109" s="133" t="s">
        <v>436</v>
      </c>
      <c r="L109" s="186">
        <v>4</v>
      </c>
    </row>
    <row r="110" spans="1:18" s="36" customFormat="1">
      <c r="A110" s="148" t="s">
        <v>419</v>
      </c>
      <c r="B110" s="128"/>
      <c r="C110" s="134">
        <v>1</v>
      </c>
      <c r="D110" s="135">
        <v>1</v>
      </c>
      <c r="E110" s="136">
        <v>75</v>
      </c>
      <c r="F110" s="38" t="s">
        <v>571</v>
      </c>
      <c r="G110" s="129" t="s">
        <v>111</v>
      </c>
      <c r="H110" s="130"/>
      <c r="I110" s="131"/>
      <c r="J110" s="132"/>
      <c r="K110" s="133" t="s">
        <v>436</v>
      </c>
      <c r="L110" s="186">
        <v>3</v>
      </c>
    </row>
    <row r="111" spans="1:18" s="36" customFormat="1">
      <c r="A111" s="148" t="s">
        <v>420</v>
      </c>
      <c r="B111" s="128"/>
      <c r="C111" s="134">
        <v>1.5</v>
      </c>
      <c r="D111" s="135">
        <v>1</v>
      </c>
      <c r="E111" s="136">
        <v>45</v>
      </c>
      <c r="F111" s="38" t="s">
        <v>571</v>
      </c>
      <c r="G111" s="129" t="s">
        <v>116</v>
      </c>
      <c r="H111" s="130"/>
      <c r="I111" s="131"/>
      <c r="J111" s="132"/>
      <c r="K111" s="133" t="s">
        <v>436</v>
      </c>
      <c r="L111" s="186">
        <v>3</v>
      </c>
    </row>
    <row r="112" spans="1:18" s="36" customFormat="1">
      <c r="A112" s="148" t="s">
        <v>545</v>
      </c>
      <c r="B112" s="128" t="s">
        <v>381</v>
      </c>
      <c r="C112" s="134">
        <v>1</v>
      </c>
      <c r="D112" s="135">
        <v>1</v>
      </c>
      <c r="E112" s="136">
        <v>100</v>
      </c>
      <c r="F112" s="38" t="s">
        <v>578</v>
      </c>
      <c r="G112" s="129" t="s">
        <v>108</v>
      </c>
      <c r="H112" s="130"/>
      <c r="I112" s="131">
        <v>500</v>
      </c>
      <c r="J112" s="132">
        <v>1</v>
      </c>
      <c r="K112" s="133" t="s">
        <v>436</v>
      </c>
      <c r="L112" s="186">
        <v>3</v>
      </c>
    </row>
    <row r="113" spans="1:18">
      <c r="A113" s="148" t="s">
        <v>421</v>
      </c>
      <c r="B113" s="128" t="s">
        <v>26</v>
      </c>
      <c r="C113" s="134">
        <v>3</v>
      </c>
      <c r="D113" s="135">
        <v>3</v>
      </c>
      <c r="E113" s="136">
        <v>900</v>
      </c>
      <c r="F113" s="38" t="s">
        <v>571</v>
      </c>
      <c r="G113" s="129" t="s">
        <v>546</v>
      </c>
      <c r="H113" s="130"/>
      <c r="I113" s="131">
        <v>200</v>
      </c>
      <c r="J113" s="132">
        <v>1</v>
      </c>
      <c r="K113" s="133" t="s">
        <v>436</v>
      </c>
      <c r="L113" s="186">
        <v>4</v>
      </c>
      <c r="M113" s="36"/>
      <c r="N113" s="36"/>
      <c r="O113" s="36"/>
      <c r="P113" s="36"/>
      <c r="Q113" s="36"/>
      <c r="R113" s="36"/>
    </row>
    <row r="114" spans="1:18" s="36" customFormat="1">
      <c r="A114" s="148" t="s">
        <v>547</v>
      </c>
      <c r="B114" s="128"/>
      <c r="C114" s="134">
        <v>2</v>
      </c>
      <c r="D114" s="135">
        <v>3</v>
      </c>
      <c r="E114" s="136">
        <v>1000</v>
      </c>
      <c r="F114" s="38" t="s">
        <v>571</v>
      </c>
      <c r="G114" s="129" t="s">
        <v>118</v>
      </c>
      <c r="H114" s="130"/>
      <c r="I114" s="131"/>
      <c r="J114" s="132"/>
      <c r="K114" s="133" t="s">
        <v>436</v>
      </c>
      <c r="L114" s="186">
        <v>4</v>
      </c>
      <c r="M114" s="29"/>
      <c r="N114" s="29"/>
      <c r="O114" s="29"/>
      <c r="P114" s="29"/>
      <c r="Q114" s="29"/>
      <c r="R114" s="29"/>
    </row>
    <row r="115" spans="1:18" s="36" customFormat="1">
      <c r="A115" s="148" t="s">
        <v>551</v>
      </c>
      <c r="B115" s="128"/>
      <c r="C115" s="134">
        <v>0.5</v>
      </c>
      <c r="D115" s="135">
        <v>0.1</v>
      </c>
      <c r="E115" s="136">
        <v>25</v>
      </c>
      <c r="F115" s="38" t="s">
        <v>571</v>
      </c>
      <c r="G115" s="129" t="s">
        <v>112</v>
      </c>
      <c r="H115" s="130"/>
      <c r="I115" s="131"/>
      <c r="J115" s="132"/>
      <c r="K115" s="133" t="s">
        <v>436</v>
      </c>
      <c r="L115" s="186">
        <v>2</v>
      </c>
    </row>
    <row r="116" spans="1:18" s="36" customFormat="1">
      <c r="A116" s="148" t="s">
        <v>552</v>
      </c>
      <c r="B116" s="128"/>
      <c r="C116" s="134">
        <v>2</v>
      </c>
      <c r="D116" s="135">
        <v>1</v>
      </c>
      <c r="E116" s="136">
        <v>10</v>
      </c>
      <c r="F116" s="38" t="s">
        <v>571</v>
      </c>
      <c r="G116" s="129" t="s">
        <v>112</v>
      </c>
      <c r="H116" s="130"/>
      <c r="I116" s="131"/>
      <c r="J116" s="132"/>
      <c r="K116" s="133" t="s">
        <v>436</v>
      </c>
      <c r="L116" s="186">
        <v>3</v>
      </c>
    </row>
    <row r="117" spans="1:18" s="36" customFormat="1" ht="15.75" thickBot="1">
      <c r="A117" s="151" t="s">
        <v>548</v>
      </c>
      <c r="B117" s="152"/>
      <c r="C117" s="187">
        <v>4</v>
      </c>
      <c r="D117" s="188">
        <v>5</v>
      </c>
      <c r="E117" s="189">
        <v>3500</v>
      </c>
      <c r="F117" s="37" t="s">
        <v>571</v>
      </c>
      <c r="G117" s="153" t="s">
        <v>549</v>
      </c>
      <c r="H117" s="190"/>
      <c r="I117" s="191" t="s">
        <v>550</v>
      </c>
      <c r="J117" s="192">
        <v>1</v>
      </c>
      <c r="K117" s="193" t="s">
        <v>436</v>
      </c>
      <c r="L117" s="194">
        <v>5</v>
      </c>
    </row>
    <row r="118" spans="1:18" s="36" customFormat="1">
      <c r="A118" s="137" t="s">
        <v>122</v>
      </c>
      <c r="B118" s="138" t="s">
        <v>127</v>
      </c>
      <c r="C118" s="144">
        <v>2</v>
      </c>
      <c r="D118" s="145">
        <v>2</v>
      </c>
      <c r="E118" s="146">
        <v>300</v>
      </c>
      <c r="F118" s="147" t="s">
        <v>571</v>
      </c>
      <c r="G118" s="139" t="s">
        <v>128</v>
      </c>
      <c r="H118" s="140">
        <v>150</v>
      </c>
      <c r="I118" s="141">
        <v>1</v>
      </c>
      <c r="J118" s="142">
        <v>1</v>
      </c>
      <c r="K118" s="143" t="s">
        <v>436</v>
      </c>
      <c r="L118" s="185">
        <v>4</v>
      </c>
    </row>
    <row r="119" spans="1:18" s="36" customFormat="1">
      <c r="A119" s="148" t="s">
        <v>123</v>
      </c>
      <c r="B119" s="128" t="s">
        <v>129</v>
      </c>
      <c r="C119" s="134">
        <v>2</v>
      </c>
      <c r="D119" s="135">
        <v>1</v>
      </c>
      <c r="E119" s="136">
        <v>150</v>
      </c>
      <c r="F119" s="38" t="s">
        <v>571</v>
      </c>
      <c r="G119" s="129" t="s">
        <v>119</v>
      </c>
      <c r="H119" s="130">
        <v>125</v>
      </c>
      <c r="I119" s="131">
        <v>1</v>
      </c>
      <c r="J119" s="132">
        <v>1</v>
      </c>
      <c r="K119" s="133" t="s">
        <v>436</v>
      </c>
      <c r="L119" s="186">
        <v>4</v>
      </c>
    </row>
    <row r="120" spans="1:18" s="36" customFormat="1">
      <c r="A120" s="148" t="s">
        <v>124</v>
      </c>
      <c r="B120" s="128"/>
      <c r="C120" s="134">
        <v>1</v>
      </c>
      <c r="D120" s="135">
        <v>0.5</v>
      </c>
      <c r="E120" s="136">
        <v>50</v>
      </c>
      <c r="F120" s="38" t="s">
        <v>571</v>
      </c>
      <c r="G120" s="129" t="s">
        <v>130</v>
      </c>
      <c r="H120" s="130">
        <v>35</v>
      </c>
      <c r="I120" s="131"/>
      <c r="J120" s="132"/>
      <c r="K120" s="133" t="s">
        <v>553</v>
      </c>
      <c r="L120" s="186">
        <v>4</v>
      </c>
    </row>
    <row r="121" spans="1:18" s="36" customFormat="1">
      <c r="A121" s="148" t="s">
        <v>125</v>
      </c>
      <c r="B121" s="128"/>
      <c r="C121" s="134">
        <v>0.5</v>
      </c>
      <c r="D121" s="135">
        <v>0.1</v>
      </c>
      <c r="E121" s="136">
        <v>50</v>
      </c>
      <c r="F121" s="38" t="s">
        <v>571</v>
      </c>
      <c r="G121" s="129" t="s">
        <v>525</v>
      </c>
      <c r="H121" s="130">
        <v>15</v>
      </c>
      <c r="I121" s="131"/>
      <c r="J121" s="132"/>
      <c r="K121" s="133" t="s">
        <v>511</v>
      </c>
      <c r="L121" s="186">
        <v>3</v>
      </c>
    </row>
    <row r="122" spans="1:18" s="36" customFormat="1">
      <c r="A122" s="148" t="s">
        <v>126</v>
      </c>
      <c r="B122" s="128"/>
      <c r="C122" s="134">
        <v>0.5</v>
      </c>
      <c r="D122" s="135">
        <v>0.1</v>
      </c>
      <c r="E122" s="136">
        <v>10</v>
      </c>
      <c r="F122" s="38" t="s">
        <v>571</v>
      </c>
      <c r="G122" s="129" t="s">
        <v>554</v>
      </c>
      <c r="H122" s="130">
        <v>15</v>
      </c>
      <c r="I122" s="131"/>
      <c r="J122" s="132"/>
      <c r="K122" s="133" t="s">
        <v>511</v>
      </c>
      <c r="L122" s="186">
        <v>3</v>
      </c>
    </row>
    <row r="123" spans="1:18" s="36" customFormat="1">
      <c r="A123" s="148" t="s">
        <v>132</v>
      </c>
      <c r="B123" s="128"/>
      <c r="C123" s="134">
        <v>0.5</v>
      </c>
      <c r="D123" s="135">
        <v>0.5</v>
      </c>
      <c r="E123" s="136">
        <v>60</v>
      </c>
      <c r="F123" s="38" t="s">
        <v>571</v>
      </c>
      <c r="G123" s="129" t="s">
        <v>133</v>
      </c>
      <c r="H123" s="130">
        <v>15</v>
      </c>
      <c r="I123" s="131"/>
      <c r="J123" s="132"/>
      <c r="K123" s="133" t="s">
        <v>511</v>
      </c>
      <c r="L123" s="186">
        <v>3</v>
      </c>
    </row>
    <row r="124" spans="1:18" s="36" customFormat="1">
      <c r="A124" s="148" t="s">
        <v>134</v>
      </c>
      <c r="B124" s="128"/>
      <c r="C124" s="134">
        <v>0.5</v>
      </c>
      <c r="D124" s="135">
        <v>0.1</v>
      </c>
      <c r="E124" s="136">
        <v>100</v>
      </c>
      <c r="F124" s="38" t="s">
        <v>571</v>
      </c>
      <c r="G124" s="129" t="s">
        <v>556</v>
      </c>
      <c r="H124" s="130">
        <v>18</v>
      </c>
      <c r="I124" s="131"/>
      <c r="J124" s="132"/>
      <c r="K124" s="133" t="s">
        <v>511</v>
      </c>
      <c r="L124" s="186">
        <v>3</v>
      </c>
    </row>
    <row r="125" spans="1:18" s="36" customFormat="1" ht="15.75" thickBot="1">
      <c r="A125" s="151" t="s">
        <v>135</v>
      </c>
      <c r="B125" s="152"/>
      <c r="C125" s="187">
        <v>0.5</v>
      </c>
      <c r="D125" s="188">
        <v>0.5</v>
      </c>
      <c r="E125" s="189">
        <v>700</v>
      </c>
      <c r="F125" s="37" t="s">
        <v>571</v>
      </c>
      <c r="G125" s="153" t="s">
        <v>557</v>
      </c>
      <c r="H125" s="190">
        <v>15</v>
      </c>
      <c r="I125" s="191"/>
      <c r="J125" s="192"/>
      <c r="K125" s="193" t="s">
        <v>511</v>
      </c>
      <c r="L125" s="194">
        <v>3</v>
      </c>
    </row>
    <row r="126" spans="1:18" s="36" customFormat="1" ht="15.75" thickBot="1">
      <c r="A126" s="206" t="s">
        <v>555</v>
      </c>
      <c r="B126" s="207"/>
      <c r="C126" s="208"/>
      <c r="D126" s="209"/>
      <c r="E126" s="210"/>
      <c r="F126" s="211"/>
      <c r="G126" s="212" t="s">
        <v>579</v>
      </c>
      <c r="H126" s="213"/>
      <c r="I126" s="214"/>
      <c r="J126" s="215"/>
      <c r="K126" s="216"/>
      <c r="L126" s="217"/>
    </row>
    <row r="127" spans="1:18" s="36" customFormat="1">
      <c r="A127" s="29"/>
      <c r="B127" s="35"/>
      <c r="C127" s="34"/>
      <c r="D127" s="34"/>
      <c r="E127" s="32"/>
      <c r="F127" s="32"/>
      <c r="G127" s="29"/>
      <c r="H127" s="30"/>
      <c r="I127" s="31" t="s">
        <v>81</v>
      </c>
      <c r="J127" s="32"/>
      <c r="K127" s="32"/>
      <c r="L127" s="33"/>
    </row>
    <row r="128" spans="1:18" s="36" customFormat="1">
      <c r="A128" s="29"/>
      <c r="B128" s="29"/>
      <c r="C128" s="34"/>
      <c r="D128" s="34"/>
      <c r="E128" s="32"/>
      <c r="F128" s="32"/>
      <c r="G128" s="29"/>
      <c r="H128" s="30"/>
      <c r="I128" s="31"/>
      <c r="J128" s="32"/>
      <c r="K128" s="32"/>
      <c r="L128" s="33"/>
    </row>
    <row r="129" spans="1:18" s="36" customFormat="1">
      <c r="A129" s="29"/>
      <c r="B129" s="29"/>
      <c r="C129" s="34"/>
      <c r="D129" s="34"/>
      <c r="E129" s="32"/>
      <c r="F129" s="32"/>
      <c r="G129" s="29"/>
      <c r="H129" s="30"/>
      <c r="I129" s="31"/>
      <c r="J129" s="32"/>
      <c r="K129" s="32"/>
      <c r="L129" s="33"/>
    </row>
    <row r="130" spans="1:18" s="36" customFormat="1">
      <c r="A130" s="29"/>
      <c r="B130" s="29"/>
      <c r="C130" s="34"/>
      <c r="D130" s="34"/>
      <c r="E130" s="32"/>
      <c r="F130" s="32"/>
      <c r="G130" s="29"/>
      <c r="H130" s="30"/>
      <c r="I130" s="31"/>
      <c r="J130" s="32"/>
      <c r="K130" s="32"/>
      <c r="L130" s="33"/>
    </row>
    <row r="131" spans="1:18" s="36" customFormat="1">
      <c r="A131" s="29"/>
      <c r="B131" s="29"/>
      <c r="C131" s="34"/>
      <c r="D131" s="34"/>
      <c r="E131" s="32"/>
      <c r="F131" s="32"/>
      <c r="G131" s="29"/>
      <c r="H131" s="30"/>
      <c r="I131" s="31"/>
      <c r="J131" s="32"/>
      <c r="K131" s="32"/>
      <c r="L131" s="33"/>
    </row>
    <row r="132" spans="1:18" s="36" customFormat="1">
      <c r="A132" s="29"/>
      <c r="B132" s="29"/>
      <c r="C132" s="34"/>
      <c r="D132" s="34"/>
      <c r="E132" s="32"/>
      <c r="F132" s="32"/>
      <c r="G132" s="29"/>
      <c r="H132" s="30"/>
      <c r="I132" s="31"/>
      <c r="J132" s="32"/>
      <c r="K132" s="32"/>
      <c r="L132" s="33"/>
    </row>
    <row r="133" spans="1:18" s="36" customFormat="1">
      <c r="A133" s="29"/>
      <c r="B133" s="29"/>
      <c r="C133" s="34"/>
      <c r="D133" s="34"/>
      <c r="E133" s="32"/>
      <c r="F133" s="32"/>
      <c r="G133" s="29"/>
      <c r="H133" s="30"/>
      <c r="I133" s="31"/>
      <c r="J133" s="32"/>
      <c r="K133" s="32"/>
      <c r="L133" s="33"/>
    </row>
    <row r="134" spans="1:18" s="36" customFormat="1">
      <c r="A134" s="29"/>
      <c r="B134" s="29"/>
      <c r="C134" s="34"/>
      <c r="D134" s="34"/>
      <c r="E134" s="32"/>
      <c r="F134" s="32"/>
      <c r="G134" s="29"/>
      <c r="H134" s="30"/>
      <c r="I134" s="31"/>
      <c r="J134" s="32"/>
      <c r="K134" s="32"/>
      <c r="L134" s="33"/>
    </row>
    <row r="135" spans="1:18">
      <c r="M135" s="36"/>
      <c r="N135" s="36"/>
      <c r="O135" s="36"/>
      <c r="P135" s="36"/>
      <c r="Q135" s="36"/>
      <c r="R135" s="36"/>
    </row>
    <row r="136" spans="1:18" ht="14.25" customHeight="1">
      <c r="M136" s="29"/>
    </row>
    <row r="137" spans="1:18">
      <c r="M137" s="29"/>
    </row>
    <row r="138" spans="1:18">
      <c r="M138" s="29"/>
    </row>
    <row r="139" spans="1:18">
      <c r="M139" s="29"/>
    </row>
    <row r="140" spans="1:18">
      <c r="M140" s="29"/>
    </row>
    <row r="141" spans="1:18">
      <c r="M141" s="29"/>
    </row>
    <row r="142" spans="1:18">
      <c r="M142" s="29"/>
    </row>
    <row r="143" spans="1:18">
      <c r="M143" s="29"/>
    </row>
    <row r="144" spans="1:18">
      <c r="M144" s="29"/>
    </row>
    <row r="145" spans="13:13">
      <c r="M145" s="29"/>
    </row>
    <row r="146" spans="13:13">
      <c r="M146" s="2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9"/>
  <sheetViews>
    <sheetView workbookViewId="0">
      <selection activeCell="M27" sqref="M27"/>
    </sheetView>
  </sheetViews>
  <sheetFormatPr baseColWidth="10" defaultRowHeight="15"/>
  <cols>
    <col min="1" max="1" width="21.5703125" style="26" customWidth="1"/>
    <col min="2" max="2" width="11.42578125" style="15"/>
    <col min="3" max="3" width="11.42578125" style="24"/>
    <col min="4" max="4" width="11.42578125" style="23"/>
    <col min="5" max="5" width="11.85546875" style="25" bestFit="1" customWidth="1"/>
    <col min="6" max="6" width="17.140625" style="16" customWidth="1"/>
    <col min="7" max="7" width="11.42578125" style="17"/>
    <col min="8" max="8" width="11.42578125" style="18"/>
    <col min="9" max="9" width="12.140625" style="19" customWidth="1"/>
    <col min="10" max="10" width="11.42578125" style="20"/>
    <col min="11" max="11" width="11.42578125" style="21"/>
    <col min="12" max="12" width="12.7109375" style="1" customWidth="1"/>
    <col min="13" max="13" width="15" style="22" customWidth="1"/>
    <col min="14" max="14" width="18.28515625" style="2" customWidth="1"/>
    <col min="24" max="16384" width="11.42578125" style="2"/>
  </cols>
  <sheetData>
    <row r="1" spans="1:14" ht="15.75" thickBot="1">
      <c r="A1" s="2"/>
      <c r="B1" s="2"/>
      <c r="C1" s="2"/>
      <c r="D1" s="2"/>
      <c r="E1" s="2"/>
      <c r="F1" s="2"/>
      <c r="G1" s="2"/>
      <c r="H1" s="2"/>
      <c r="I1" s="2"/>
      <c r="J1" s="2"/>
      <c r="K1" s="2"/>
      <c r="L1" s="2"/>
      <c r="M1" s="2"/>
    </row>
    <row r="2" spans="1:14" ht="15.75" thickBot="1">
      <c r="A2" s="221" t="s">
        <v>6</v>
      </c>
      <c r="B2" s="222" t="s">
        <v>143</v>
      </c>
      <c r="C2" s="224" t="s">
        <v>145</v>
      </c>
      <c r="D2" s="223" t="s">
        <v>144</v>
      </c>
      <c r="E2" s="225" t="s">
        <v>146</v>
      </c>
      <c r="F2" s="226" t="s">
        <v>140</v>
      </c>
      <c r="G2" s="227" t="s">
        <v>138</v>
      </c>
      <c r="H2" s="228" t="s">
        <v>175</v>
      </c>
      <c r="I2" s="229" t="s">
        <v>176</v>
      </c>
      <c r="J2" s="230" t="s">
        <v>177</v>
      </c>
      <c r="K2" s="231" t="s">
        <v>178</v>
      </c>
      <c r="L2" s="232" t="s">
        <v>179</v>
      </c>
      <c r="M2" s="127" t="s">
        <v>180</v>
      </c>
      <c r="N2" s="233" t="s">
        <v>600</v>
      </c>
    </row>
    <row r="3" spans="1:14">
      <c r="A3" s="234" t="s">
        <v>147</v>
      </c>
      <c r="B3" s="235">
        <v>5</v>
      </c>
      <c r="C3" s="237">
        <v>2.5</v>
      </c>
      <c r="D3" s="236">
        <v>2</v>
      </c>
      <c r="E3" s="238">
        <v>250</v>
      </c>
      <c r="F3" s="239" t="s">
        <v>139</v>
      </c>
      <c r="G3" s="240">
        <v>1</v>
      </c>
      <c r="H3" s="241">
        <v>0</v>
      </c>
      <c r="I3" s="242">
        <v>5</v>
      </c>
      <c r="J3" s="243">
        <v>5</v>
      </c>
      <c r="K3" s="244">
        <v>5</v>
      </c>
      <c r="L3" s="245">
        <v>5</v>
      </c>
      <c r="M3" s="144">
        <v>0</v>
      </c>
      <c r="N3" s="246">
        <v>0</v>
      </c>
    </row>
    <row r="4" spans="1:14">
      <c r="A4" s="417" t="s">
        <v>802</v>
      </c>
      <c r="B4" s="418">
        <v>2</v>
      </c>
      <c r="C4" s="419">
        <v>2</v>
      </c>
      <c r="D4" s="420">
        <v>1</v>
      </c>
      <c r="E4" s="421">
        <v>100</v>
      </c>
      <c r="F4" s="422"/>
      <c r="G4" s="423"/>
      <c r="H4" s="424"/>
      <c r="I4" s="425"/>
      <c r="J4" s="426"/>
      <c r="K4" s="427"/>
      <c r="L4" s="428"/>
      <c r="M4" s="429"/>
      <c r="N4" s="430"/>
    </row>
    <row r="5" spans="1:14" ht="15.75" customHeight="1">
      <c r="A5" s="247" t="s">
        <v>137</v>
      </c>
      <c r="B5" s="248">
        <v>7</v>
      </c>
      <c r="C5" s="250">
        <v>3</v>
      </c>
      <c r="D5" s="249">
        <v>3</v>
      </c>
      <c r="E5" s="251">
        <v>600</v>
      </c>
      <c r="F5" s="252" t="s">
        <v>139</v>
      </c>
      <c r="G5" s="253">
        <v>2</v>
      </c>
      <c r="H5" s="254">
        <v>0</v>
      </c>
      <c r="I5" s="255">
        <v>10</v>
      </c>
      <c r="J5" s="256">
        <v>10</v>
      </c>
      <c r="K5" s="257">
        <v>10</v>
      </c>
      <c r="L5" s="258">
        <v>10</v>
      </c>
      <c r="M5" s="134">
        <v>0</v>
      </c>
      <c r="N5" s="259">
        <v>5</v>
      </c>
    </row>
    <row r="6" spans="1:14">
      <c r="A6" s="247" t="s">
        <v>148</v>
      </c>
      <c r="B6" s="248">
        <v>15</v>
      </c>
      <c r="C6" s="250">
        <v>5</v>
      </c>
      <c r="D6" s="249">
        <v>5</v>
      </c>
      <c r="E6" s="251">
        <v>1000</v>
      </c>
      <c r="F6" s="252" t="s">
        <v>139</v>
      </c>
      <c r="G6" s="253">
        <v>5</v>
      </c>
      <c r="H6" s="254">
        <v>5</v>
      </c>
      <c r="I6" s="255">
        <v>20</v>
      </c>
      <c r="J6" s="256">
        <v>15</v>
      </c>
      <c r="K6" s="257">
        <v>15</v>
      </c>
      <c r="L6" s="258">
        <v>10</v>
      </c>
      <c r="M6" s="134">
        <v>10</v>
      </c>
      <c r="N6" s="259">
        <v>10</v>
      </c>
    </row>
    <row r="7" spans="1:14">
      <c r="A7" s="247" t="s">
        <v>141</v>
      </c>
      <c r="B7" s="248">
        <v>18</v>
      </c>
      <c r="C7" s="250">
        <v>5</v>
      </c>
      <c r="D7" s="249">
        <v>6</v>
      </c>
      <c r="E7" s="251">
        <v>1400</v>
      </c>
      <c r="F7" s="252" t="s">
        <v>139</v>
      </c>
      <c r="G7" s="253">
        <v>6</v>
      </c>
      <c r="H7" s="254">
        <v>5</v>
      </c>
      <c r="I7" s="255">
        <v>25</v>
      </c>
      <c r="J7" s="256">
        <v>20</v>
      </c>
      <c r="K7" s="257">
        <v>20</v>
      </c>
      <c r="L7" s="258">
        <v>10</v>
      </c>
      <c r="M7" s="134">
        <v>15</v>
      </c>
      <c r="N7" s="259">
        <v>15</v>
      </c>
    </row>
    <row r="8" spans="1:14">
      <c r="A8" s="247" t="s">
        <v>149</v>
      </c>
      <c r="B8" s="248">
        <v>8</v>
      </c>
      <c r="C8" s="250">
        <v>7</v>
      </c>
      <c r="D8" s="249">
        <v>5</v>
      </c>
      <c r="E8" s="251">
        <v>1500</v>
      </c>
      <c r="F8" s="252" t="s">
        <v>155</v>
      </c>
      <c r="G8" s="253">
        <v>1</v>
      </c>
      <c r="H8" s="254">
        <v>15</v>
      </c>
      <c r="I8" s="255">
        <v>10</v>
      </c>
      <c r="J8" s="256">
        <v>10</v>
      </c>
      <c r="K8" s="257">
        <v>20</v>
      </c>
      <c r="L8" s="258">
        <v>10</v>
      </c>
      <c r="M8" s="134">
        <v>0</v>
      </c>
      <c r="N8" s="259">
        <v>20</v>
      </c>
    </row>
    <row r="9" spans="1:14">
      <c r="A9" s="247" t="s">
        <v>150</v>
      </c>
      <c r="B9" s="248">
        <v>15</v>
      </c>
      <c r="C9" s="250">
        <v>5</v>
      </c>
      <c r="D9" s="249">
        <v>6</v>
      </c>
      <c r="E9" s="251">
        <v>1500</v>
      </c>
      <c r="F9" s="252" t="s">
        <v>155</v>
      </c>
      <c r="G9" s="253">
        <v>5</v>
      </c>
      <c r="H9" s="254">
        <v>5</v>
      </c>
      <c r="I9" s="255">
        <v>25</v>
      </c>
      <c r="J9" s="256">
        <v>20</v>
      </c>
      <c r="K9" s="257">
        <v>20</v>
      </c>
      <c r="L9" s="258">
        <v>10</v>
      </c>
      <c r="M9" s="134">
        <v>10</v>
      </c>
      <c r="N9" s="259">
        <v>15</v>
      </c>
    </row>
    <row r="10" spans="1:14" ht="14.25" customHeight="1" thickBot="1">
      <c r="A10" s="247" t="s">
        <v>151</v>
      </c>
      <c r="B10" s="248">
        <v>15</v>
      </c>
      <c r="C10" s="250">
        <v>8</v>
      </c>
      <c r="D10" s="249">
        <v>12</v>
      </c>
      <c r="E10" s="251">
        <v>1800</v>
      </c>
      <c r="F10" s="252" t="s">
        <v>155</v>
      </c>
      <c r="G10" s="253">
        <v>5</v>
      </c>
      <c r="H10" s="254">
        <v>5</v>
      </c>
      <c r="I10" s="255">
        <v>25</v>
      </c>
      <c r="J10" s="256">
        <v>20</v>
      </c>
      <c r="K10" s="257">
        <v>20</v>
      </c>
      <c r="L10" s="258">
        <v>10</v>
      </c>
      <c r="M10" s="134">
        <v>10</v>
      </c>
      <c r="N10" s="259">
        <v>15</v>
      </c>
    </row>
    <row r="11" spans="1:14">
      <c r="A11" s="234" t="s">
        <v>159</v>
      </c>
      <c r="B11" s="235">
        <v>22</v>
      </c>
      <c r="C11" s="237">
        <v>6</v>
      </c>
      <c r="D11" s="236">
        <v>12</v>
      </c>
      <c r="E11" s="272">
        <v>2500</v>
      </c>
      <c r="F11" s="239" t="s">
        <v>166</v>
      </c>
      <c r="G11" s="240">
        <v>7</v>
      </c>
      <c r="H11" s="241">
        <v>10</v>
      </c>
      <c r="I11" s="242">
        <v>30</v>
      </c>
      <c r="J11" s="243">
        <v>30</v>
      </c>
      <c r="K11" s="244">
        <v>10</v>
      </c>
      <c r="L11" s="245">
        <v>15</v>
      </c>
      <c r="M11" s="144">
        <v>20</v>
      </c>
      <c r="N11" s="246">
        <v>0</v>
      </c>
    </row>
    <row r="12" spans="1:14">
      <c r="A12" s="247" t="s">
        <v>160</v>
      </c>
      <c r="B12" s="248">
        <v>8</v>
      </c>
      <c r="C12" s="250">
        <v>7</v>
      </c>
      <c r="D12" s="249">
        <v>14</v>
      </c>
      <c r="E12" s="251">
        <v>3000</v>
      </c>
      <c r="F12" s="252" t="s">
        <v>166</v>
      </c>
      <c r="G12" s="253">
        <v>8</v>
      </c>
      <c r="H12" s="254">
        <v>10</v>
      </c>
      <c r="I12" s="255">
        <v>35</v>
      </c>
      <c r="J12" s="256">
        <v>35</v>
      </c>
      <c r="K12" s="257">
        <v>15</v>
      </c>
      <c r="L12" s="258">
        <v>20</v>
      </c>
      <c r="M12" s="134">
        <v>25</v>
      </c>
      <c r="N12" s="259">
        <v>0</v>
      </c>
    </row>
    <row r="13" spans="1:14" ht="18.75" customHeight="1">
      <c r="A13" s="247" t="s">
        <v>161</v>
      </c>
      <c r="B13" s="248">
        <v>30</v>
      </c>
      <c r="C13" s="250">
        <v>11</v>
      </c>
      <c r="D13" s="249">
        <v>20</v>
      </c>
      <c r="E13" s="251">
        <v>4000</v>
      </c>
      <c r="F13" s="252" t="s">
        <v>167</v>
      </c>
      <c r="G13" s="253">
        <v>10</v>
      </c>
      <c r="H13" s="254">
        <v>25</v>
      </c>
      <c r="I13" s="255">
        <v>40</v>
      </c>
      <c r="J13" s="256">
        <v>40</v>
      </c>
      <c r="K13" s="257">
        <v>30</v>
      </c>
      <c r="L13" s="258">
        <v>25</v>
      </c>
      <c r="M13" s="134">
        <v>30</v>
      </c>
      <c r="N13" s="259">
        <v>30</v>
      </c>
    </row>
    <row r="14" spans="1:14">
      <c r="A14" s="247" t="s">
        <v>162</v>
      </c>
      <c r="B14" s="248">
        <v>33</v>
      </c>
      <c r="C14" s="250">
        <v>10</v>
      </c>
      <c r="D14" s="249">
        <v>18</v>
      </c>
      <c r="E14" s="251">
        <v>5500</v>
      </c>
      <c r="F14" s="252" t="s">
        <v>167</v>
      </c>
      <c r="G14" s="253">
        <v>11</v>
      </c>
      <c r="H14" s="254">
        <v>25</v>
      </c>
      <c r="I14" s="255">
        <v>45</v>
      </c>
      <c r="J14" s="256">
        <v>45</v>
      </c>
      <c r="K14" s="257">
        <v>35</v>
      </c>
      <c r="L14" s="258">
        <v>30</v>
      </c>
      <c r="M14" s="134">
        <v>35</v>
      </c>
      <c r="N14" s="259">
        <v>35</v>
      </c>
    </row>
    <row r="15" spans="1:14" ht="14.25" customHeight="1">
      <c r="A15" s="247" t="s">
        <v>163</v>
      </c>
      <c r="B15" s="248">
        <v>30</v>
      </c>
      <c r="C15" s="250">
        <v>10</v>
      </c>
      <c r="D15" s="249">
        <v>15</v>
      </c>
      <c r="E15" s="251">
        <v>6000</v>
      </c>
      <c r="F15" s="252" t="s">
        <v>167</v>
      </c>
      <c r="G15" s="253">
        <v>9</v>
      </c>
      <c r="H15" s="254">
        <v>20</v>
      </c>
      <c r="I15" s="255">
        <v>40</v>
      </c>
      <c r="J15" s="256">
        <v>80</v>
      </c>
      <c r="K15" s="257">
        <v>25</v>
      </c>
      <c r="L15" s="258">
        <v>75</v>
      </c>
      <c r="M15" s="134">
        <v>30</v>
      </c>
      <c r="N15" s="259">
        <v>80</v>
      </c>
    </row>
    <row r="16" spans="1:14">
      <c r="A16" s="247" t="s">
        <v>164</v>
      </c>
      <c r="B16" s="248">
        <v>28</v>
      </c>
      <c r="C16" s="250">
        <v>9</v>
      </c>
      <c r="D16" s="249">
        <v>17</v>
      </c>
      <c r="E16" s="251">
        <v>3800</v>
      </c>
      <c r="F16" s="252" t="s">
        <v>167</v>
      </c>
      <c r="G16" s="253">
        <v>10</v>
      </c>
      <c r="H16" s="254">
        <v>20</v>
      </c>
      <c r="I16" s="255">
        <v>35</v>
      </c>
      <c r="J16" s="256">
        <v>35</v>
      </c>
      <c r="K16" s="257">
        <v>20</v>
      </c>
      <c r="L16" s="258">
        <v>25</v>
      </c>
      <c r="M16" s="134">
        <v>30</v>
      </c>
      <c r="N16" s="259">
        <v>30</v>
      </c>
    </row>
    <row r="17" spans="1:23" ht="14.25" customHeight="1" thickBot="1">
      <c r="A17" s="260" t="s">
        <v>165</v>
      </c>
      <c r="B17" s="261">
        <v>28</v>
      </c>
      <c r="C17" s="263">
        <v>15</v>
      </c>
      <c r="D17" s="262">
        <v>25</v>
      </c>
      <c r="E17" s="264">
        <v>4600</v>
      </c>
      <c r="F17" s="265" t="s">
        <v>167</v>
      </c>
      <c r="G17" s="266">
        <v>10</v>
      </c>
      <c r="H17" s="154">
        <v>20</v>
      </c>
      <c r="I17" s="267">
        <v>40</v>
      </c>
      <c r="J17" s="268">
        <v>35</v>
      </c>
      <c r="K17" s="269">
        <v>20</v>
      </c>
      <c r="L17" s="270">
        <v>25</v>
      </c>
      <c r="M17" s="187">
        <v>30</v>
      </c>
      <c r="N17" s="271">
        <v>30</v>
      </c>
    </row>
    <row r="18" spans="1:23">
      <c r="A18" s="234" t="s">
        <v>168</v>
      </c>
      <c r="B18" s="235">
        <v>35</v>
      </c>
      <c r="C18" s="237">
        <v>15</v>
      </c>
      <c r="D18" s="236">
        <v>43</v>
      </c>
      <c r="E18" s="272">
        <v>15000</v>
      </c>
      <c r="F18" s="239" t="s">
        <v>174</v>
      </c>
      <c r="G18" s="240">
        <v>15</v>
      </c>
      <c r="H18" s="241">
        <v>30</v>
      </c>
      <c r="I18" s="242">
        <v>50</v>
      </c>
      <c r="J18" s="243">
        <v>50</v>
      </c>
      <c r="K18" s="244">
        <v>40</v>
      </c>
      <c r="L18" s="245">
        <v>40</v>
      </c>
      <c r="M18" s="144">
        <v>40</v>
      </c>
      <c r="N18" s="246">
        <v>50</v>
      </c>
    </row>
    <row r="19" spans="1:23">
      <c r="A19" s="247" t="s">
        <v>169</v>
      </c>
      <c r="B19" s="248">
        <v>40</v>
      </c>
      <c r="C19" s="250">
        <v>15</v>
      </c>
      <c r="D19" s="249">
        <v>48</v>
      </c>
      <c r="E19" s="251">
        <v>28000</v>
      </c>
      <c r="F19" s="252" t="s">
        <v>174</v>
      </c>
      <c r="G19" s="253">
        <v>18</v>
      </c>
      <c r="H19" s="254">
        <v>30</v>
      </c>
      <c r="I19" s="255">
        <v>55</v>
      </c>
      <c r="J19" s="256">
        <v>55</v>
      </c>
      <c r="K19" s="257">
        <v>50</v>
      </c>
      <c r="L19" s="258">
        <v>45</v>
      </c>
      <c r="M19" s="134">
        <v>45</v>
      </c>
      <c r="N19" s="259">
        <v>50</v>
      </c>
    </row>
    <row r="20" spans="1:23">
      <c r="A20" s="247" t="s">
        <v>170</v>
      </c>
      <c r="B20" s="248">
        <v>38</v>
      </c>
      <c r="C20" s="250">
        <v>15</v>
      </c>
      <c r="D20" s="249">
        <v>45</v>
      </c>
      <c r="E20" s="251">
        <v>21000</v>
      </c>
      <c r="F20" s="252" t="s">
        <v>174</v>
      </c>
      <c r="G20" s="253">
        <v>20</v>
      </c>
      <c r="H20" s="254">
        <v>30</v>
      </c>
      <c r="I20" s="255">
        <v>55</v>
      </c>
      <c r="J20" s="256">
        <v>50</v>
      </c>
      <c r="K20" s="257">
        <v>40</v>
      </c>
      <c r="L20" s="258">
        <v>45</v>
      </c>
      <c r="M20" s="134">
        <v>40</v>
      </c>
      <c r="N20" s="259">
        <v>60</v>
      </c>
    </row>
    <row r="21" spans="1:23">
      <c r="A21" s="247" t="s">
        <v>171</v>
      </c>
      <c r="B21" s="248">
        <v>43</v>
      </c>
      <c r="C21" s="250">
        <v>15</v>
      </c>
      <c r="D21" s="249">
        <v>40</v>
      </c>
      <c r="E21" s="251">
        <v>34000</v>
      </c>
      <c r="F21" s="252" t="s">
        <v>174</v>
      </c>
      <c r="G21" s="253">
        <v>25</v>
      </c>
      <c r="H21" s="254">
        <v>30</v>
      </c>
      <c r="I21" s="255">
        <v>65</v>
      </c>
      <c r="J21" s="256">
        <v>55</v>
      </c>
      <c r="K21" s="257">
        <v>55</v>
      </c>
      <c r="L21" s="258">
        <v>50</v>
      </c>
      <c r="M21" s="134">
        <v>45</v>
      </c>
      <c r="N21" s="259">
        <v>70</v>
      </c>
    </row>
    <row r="22" spans="1:23">
      <c r="A22" s="247" t="s">
        <v>172</v>
      </c>
      <c r="B22" s="248">
        <v>40</v>
      </c>
      <c r="C22" s="250">
        <v>17</v>
      </c>
      <c r="D22" s="249">
        <v>50</v>
      </c>
      <c r="E22" s="251">
        <v>25000</v>
      </c>
      <c r="F22" s="252" t="s">
        <v>174</v>
      </c>
      <c r="G22" s="253">
        <v>23</v>
      </c>
      <c r="H22" s="254">
        <v>30</v>
      </c>
      <c r="I22" s="255">
        <v>55</v>
      </c>
      <c r="J22" s="256">
        <v>55</v>
      </c>
      <c r="K22" s="257">
        <v>45</v>
      </c>
      <c r="L22" s="258">
        <v>45</v>
      </c>
      <c r="M22" s="134">
        <v>45</v>
      </c>
      <c r="N22" s="259">
        <v>70</v>
      </c>
    </row>
    <row r="23" spans="1:23">
      <c r="A23" s="247" t="s">
        <v>173</v>
      </c>
      <c r="B23" s="248">
        <v>45</v>
      </c>
      <c r="C23" s="250">
        <v>17</v>
      </c>
      <c r="D23" s="249">
        <v>55</v>
      </c>
      <c r="E23" s="251">
        <v>40000</v>
      </c>
      <c r="F23" s="252" t="s">
        <v>174</v>
      </c>
      <c r="G23" s="253">
        <v>26</v>
      </c>
      <c r="H23" s="254">
        <v>30</v>
      </c>
      <c r="I23" s="255">
        <v>60</v>
      </c>
      <c r="J23" s="256">
        <v>60</v>
      </c>
      <c r="K23" s="257">
        <v>60</v>
      </c>
      <c r="L23" s="258">
        <v>60</v>
      </c>
      <c r="M23" s="134">
        <v>60</v>
      </c>
      <c r="N23" s="259">
        <v>70</v>
      </c>
    </row>
    <row r="24" spans="1:23" ht="15.75" thickBot="1">
      <c r="A24" s="260"/>
      <c r="B24" s="261"/>
      <c r="C24" s="263"/>
      <c r="D24" s="262"/>
      <c r="E24" s="264"/>
      <c r="F24" s="265"/>
      <c r="G24" s="266"/>
      <c r="H24" s="154"/>
      <c r="I24" s="273"/>
      <c r="J24" s="268"/>
      <c r="K24" s="269"/>
      <c r="L24" s="270"/>
      <c r="M24" s="187"/>
      <c r="N24" s="271"/>
    </row>
    <row r="25" spans="1:23">
      <c r="A25" s="247" t="s">
        <v>152</v>
      </c>
      <c r="B25" s="248">
        <v>5</v>
      </c>
      <c r="C25" s="250">
        <v>1</v>
      </c>
      <c r="D25" s="249">
        <v>1</v>
      </c>
      <c r="E25" s="251">
        <v>300</v>
      </c>
      <c r="F25" s="252" t="s">
        <v>607</v>
      </c>
      <c r="G25" s="253">
        <v>5</v>
      </c>
      <c r="H25" s="254">
        <v>3</v>
      </c>
      <c r="I25" s="255">
        <v>30</v>
      </c>
      <c r="J25" s="256">
        <v>10</v>
      </c>
      <c r="K25" s="257">
        <v>20</v>
      </c>
      <c r="L25" s="258">
        <v>10</v>
      </c>
      <c r="M25" s="134">
        <v>15</v>
      </c>
      <c r="N25" s="259">
        <v>5</v>
      </c>
    </row>
    <row r="26" spans="1:23">
      <c r="A26" s="247" t="s">
        <v>294</v>
      </c>
      <c r="B26" s="413">
        <v>0</v>
      </c>
      <c r="C26" s="415">
        <v>1</v>
      </c>
      <c r="D26" s="414">
        <v>0.5</v>
      </c>
      <c r="E26" s="416">
        <v>33</v>
      </c>
      <c r="F26" s="252" t="s">
        <v>156</v>
      </c>
      <c r="G26" s="253">
        <v>0</v>
      </c>
      <c r="H26" s="254">
        <v>0</v>
      </c>
      <c r="I26" s="255">
        <v>0</v>
      </c>
      <c r="J26" s="256">
        <v>0</v>
      </c>
      <c r="K26" s="257">
        <v>0</v>
      </c>
      <c r="L26" s="258">
        <v>0</v>
      </c>
      <c r="M26" s="134">
        <v>0</v>
      </c>
      <c r="N26" s="259">
        <v>0</v>
      </c>
    </row>
    <row r="27" spans="1:23">
      <c r="A27" s="247" t="s">
        <v>154</v>
      </c>
      <c r="B27" s="248">
        <v>5</v>
      </c>
      <c r="C27" s="250">
        <v>1.5</v>
      </c>
      <c r="D27" s="249">
        <v>1</v>
      </c>
      <c r="E27" s="251">
        <v>150</v>
      </c>
      <c r="F27" s="252" t="s">
        <v>156</v>
      </c>
      <c r="G27" s="253">
        <v>5</v>
      </c>
      <c r="H27" s="254">
        <v>2</v>
      </c>
      <c r="I27" s="255">
        <v>15</v>
      </c>
      <c r="J27" s="256">
        <v>10</v>
      </c>
      <c r="K27" s="257">
        <v>10</v>
      </c>
      <c r="L27" s="258">
        <v>10</v>
      </c>
      <c r="M27" s="134">
        <v>15</v>
      </c>
      <c r="N27" s="259">
        <v>5</v>
      </c>
    </row>
    <row r="28" spans="1:23" ht="15.75" thickBot="1">
      <c r="A28" s="260" t="s">
        <v>153</v>
      </c>
      <c r="B28" s="261">
        <v>3</v>
      </c>
      <c r="C28" s="263">
        <v>1</v>
      </c>
      <c r="D28" s="262">
        <v>1</v>
      </c>
      <c r="E28" s="264">
        <v>150</v>
      </c>
      <c r="F28" s="265" t="s">
        <v>157</v>
      </c>
      <c r="G28" s="266">
        <v>5</v>
      </c>
      <c r="H28" s="154">
        <v>2</v>
      </c>
      <c r="I28" s="267">
        <v>15</v>
      </c>
      <c r="J28" s="268">
        <v>10</v>
      </c>
      <c r="K28" s="269">
        <v>10</v>
      </c>
      <c r="L28" s="270">
        <v>10</v>
      </c>
      <c r="M28" s="187">
        <v>15</v>
      </c>
      <c r="N28" s="271">
        <v>5</v>
      </c>
    </row>
    <row r="29" spans="1:23">
      <c r="A29" s="3"/>
      <c r="B29" s="4"/>
      <c r="C29" s="5"/>
      <c r="D29" s="5"/>
      <c r="E29" s="3"/>
      <c r="F29" s="3"/>
      <c r="G29" s="4"/>
      <c r="H29" s="3"/>
      <c r="I29" s="5"/>
      <c r="J29" s="5"/>
      <c r="K29" s="5"/>
      <c r="L29" s="5"/>
      <c r="M29" s="2"/>
      <c r="N29"/>
      <c r="W29" s="2"/>
    </row>
    <row r="30" spans="1:23">
      <c r="A30" s="3"/>
      <c r="B30" s="4"/>
      <c r="C30" s="5"/>
      <c r="D30" s="5"/>
      <c r="E30" s="5"/>
      <c r="F30" s="3"/>
      <c r="G30" s="3"/>
      <c r="H30" s="4"/>
      <c r="I30" s="3"/>
      <c r="J30" s="5"/>
      <c r="K30" s="5"/>
      <c r="L30" s="5"/>
      <c r="M30" s="5"/>
    </row>
    <row r="31" spans="1:23">
      <c r="A31" s="3"/>
      <c r="B31" s="4"/>
      <c r="C31" s="5"/>
      <c r="D31" s="5"/>
      <c r="E31" s="5"/>
      <c r="F31" s="3"/>
      <c r="G31" s="3"/>
      <c r="H31" s="4"/>
      <c r="I31" s="3"/>
      <c r="J31" s="5"/>
      <c r="K31" s="5"/>
      <c r="L31" s="5"/>
      <c r="M31" s="5"/>
    </row>
    <row r="32" spans="1:23">
      <c r="A32" s="3"/>
      <c r="B32" s="4"/>
      <c r="C32" s="5"/>
      <c r="D32" s="5"/>
      <c r="E32" s="5"/>
      <c r="F32" s="3"/>
      <c r="G32" s="3"/>
      <c r="H32" s="4"/>
      <c r="I32" s="3"/>
      <c r="J32" s="5"/>
      <c r="K32" s="5"/>
      <c r="L32" s="5"/>
      <c r="M32" s="5"/>
    </row>
    <row r="33" spans="1:13">
      <c r="A33" s="3"/>
      <c r="B33" s="4"/>
      <c r="C33" s="5"/>
      <c r="D33" s="5"/>
      <c r="E33" s="5"/>
      <c r="F33" s="3"/>
      <c r="G33" s="3"/>
      <c r="H33" s="4"/>
      <c r="I33" s="3"/>
      <c r="J33" s="5"/>
      <c r="K33" s="5"/>
      <c r="L33" s="5"/>
      <c r="M33" s="5"/>
    </row>
    <row r="34" spans="1:13">
      <c r="A34" s="3"/>
      <c r="B34" s="4"/>
      <c r="C34" s="5"/>
      <c r="D34" s="5"/>
      <c r="E34" s="5"/>
      <c r="F34" s="3"/>
      <c r="G34" s="3"/>
      <c r="H34" s="4"/>
      <c r="I34" s="3"/>
      <c r="J34" s="5"/>
      <c r="K34" s="5"/>
      <c r="L34" s="5"/>
      <c r="M34" s="5"/>
    </row>
    <row r="35" spans="1:13">
      <c r="A35" s="3"/>
      <c r="B35" s="4"/>
      <c r="C35" s="5"/>
      <c r="D35" s="5"/>
      <c r="E35" s="5"/>
      <c r="F35" s="3"/>
      <c r="G35" s="3"/>
      <c r="H35" s="4"/>
      <c r="I35" s="3"/>
      <c r="J35" s="5"/>
      <c r="K35" s="5"/>
      <c r="L35" s="5"/>
      <c r="M35" s="5"/>
    </row>
    <row r="36" spans="1:13">
      <c r="A36" s="3"/>
      <c r="B36" s="4"/>
      <c r="C36" s="5"/>
      <c r="D36" s="5"/>
      <c r="E36" s="5"/>
      <c r="F36" s="3"/>
      <c r="G36" s="3"/>
      <c r="H36" s="4"/>
      <c r="I36" s="3"/>
      <c r="J36" s="5"/>
      <c r="K36" s="5"/>
      <c r="L36" s="5"/>
      <c r="M36" s="5"/>
    </row>
    <row r="37" spans="1:13">
      <c r="A37" s="3"/>
      <c r="B37" s="4"/>
      <c r="C37" s="5"/>
      <c r="D37" s="5"/>
      <c r="E37" s="5"/>
      <c r="F37" s="3"/>
      <c r="G37" s="3"/>
      <c r="H37" s="4"/>
      <c r="I37" s="3"/>
      <c r="J37" s="5"/>
      <c r="K37" s="5"/>
      <c r="L37" s="5"/>
      <c r="M37" s="5"/>
    </row>
    <row r="38" spans="1:13">
      <c r="A38" s="3"/>
      <c r="B38" s="4"/>
      <c r="C38" s="5"/>
      <c r="D38" s="5"/>
      <c r="E38" s="5"/>
      <c r="F38" s="3"/>
      <c r="G38" s="3"/>
      <c r="H38" s="4"/>
      <c r="I38" s="3"/>
      <c r="J38" s="5"/>
      <c r="K38" s="5"/>
      <c r="L38" s="5"/>
      <c r="M38" s="5"/>
    </row>
    <row r="39" spans="1:13">
      <c r="A39" s="3"/>
      <c r="B39" s="4"/>
      <c r="C39" s="5"/>
      <c r="D39" s="5"/>
      <c r="E39" s="5"/>
      <c r="F39" s="3"/>
      <c r="G39" s="3"/>
      <c r="H39" s="4"/>
      <c r="I39" s="3"/>
      <c r="J39" s="5"/>
      <c r="K39" s="5"/>
      <c r="L39" s="5"/>
      <c r="M39" s="5"/>
    </row>
    <row r="40" spans="1:13">
      <c r="A40" s="3"/>
      <c r="B40" s="4"/>
      <c r="C40" s="5"/>
      <c r="D40" s="5"/>
      <c r="E40" s="5"/>
      <c r="F40" s="3"/>
      <c r="G40" s="3"/>
      <c r="H40" s="4"/>
      <c r="I40" s="3"/>
      <c r="J40" s="5"/>
      <c r="K40" s="5"/>
      <c r="L40" s="5"/>
      <c r="M40" s="5"/>
    </row>
    <row r="41" spans="1:13">
      <c r="A41" s="3"/>
      <c r="B41" s="4"/>
      <c r="C41" s="5"/>
      <c r="D41" s="5"/>
      <c r="E41" s="5"/>
      <c r="F41" s="3"/>
      <c r="G41" s="3"/>
      <c r="H41" s="4"/>
      <c r="I41" s="3"/>
      <c r="J41" s="5"/>
      <c r="K41" s="5"/>
      <c r="L41" s="5"/>
      <c r="M41" s="5"/>
    </row>
    <row r="42" spans="1:13">
      <c r="A42" s="3"/>
      <c r="B42" s="4"/>
      <c r="C42" s="5"/>
      <c r="D42" s="5"/>
      <c r="E42" s="5"/>
      <c r="F42" s="3"/>
      <c r="G42" s="3"/>
      <c r="H42" s="4"/>
      <c r="I42" s="3"/>
      <c r="J42" s="5"/>
      <c r="K42" s="5"/>
      <c r="L42" s="5"/>
      <c r="M42" s="5"/>
    </row>
    <row r="43" spans="1:13">
      <c r="A43" s="3"/>
      <c r="B43" s="4"/>
      <c r="C43" s="5"/>
      <c r="D43" s="5"/>
      <c r="E43" s="5"/>
      <c r="F43" s="3"/>
      <c r="G43" s="3"/>
      <c r="H43" s="4"/>
      <c r="I43" s="3"/>
      <c r="J43" s="5"/>
      <c r="K43" s="5"/>
      <c r="L43" s="5"/>
      <c r="M43" s="5"/>
    </row>
    <row r="44" spans="1:13">
      <c r="A44" s="3"/>
      <c r="B44" s="4"/>
      <c r="C44" s="5"/>
      <c r="D44" s="5"/>
      <c r="E44" s="5"/>
      <c r="F44" s="3"/>
      <c r="G44" s="3"/>
      <c r="H44" s="4"/>
      <c r="I44" s="3"/>
      <c r="J44" s="5"/>
      <c r="K44" s="5"/>
      <c r="L44" s="5"/>
      <c r="M44" s="5"/>
    </row>
    <row r="45" spans="1:13">
      <c r="A45" s="3"/>
      <c r="B45" s="4"/>
      <c r="C45" s="5"/>
      <c r="D45" s="5"/>
      <c r="E45" s="5"/>
      <c r="F45" s="3"/>
      <c r="G45" s="3"/>
      <c r="H45" s="4"/>
      <c r="I45" s="3"/>
      <c r="J45" s="5"/>
      <c r="K45" s="5"/>
      <c r="L45" s="5"/>
      <c r="M45" s="5"/>
    </row>
    <row r="46" spans="1:13">
      <c r="A46" s="3"/>
      <c r="B46" s="4"/>
      <c r="C46" s="5"/>
      <c r="D46" s="5"/>
      <c r="E46" s="5"/>
      <c r="F46" s="3"/>
      <c r="G46" s="3"/>
      <c r="H46" s="4"/>
      <c r="I46" s="3"/>
      <c r="J46" s="5"/>
      <c r="K46" s="5"/>
      <c r="L46" s="5"/>
      <c r="M46" s="5"/>
    </row>
    <row r="47" spans="1:13">
      <c r="A47" s="3"/>
      <c r="B47" s="4"/>
      <c r="C47" s="5"/>
      <c r="D47" s="5"/>
      <c r="E47" s="5"/>
      <c r="F47" s="3"/>
      <c r="G47" s="3"/>
      <c r="H47" s="4"/>
      <c r="I47" s="3"/>
      <c r="J47" s="5"/>
      <c r="K47" s="5"/>
      <c r="L47" s="5"/>
      <c r="M47" s="5"/>
    </row>
    <row r="48" spans="1:13">
      <c r="A48" s="3"/>
      <c r="B48" s="4"/>
      <c r="C48" s="5"/>
      <c r="D48" s="5"/>
      <c r="E48" s="5"/>
      <c r="F48" s="3"/>
      <c r="G48" s="3"/>
      <c r="H48" s="4"/>
      <c r="I48" s="3"/>
      <c r="J48" s="5"/>
      <c r="K48" s="5"/>
      <c r="L48" s="5"/>
      <c r="M48" s="5"/>
    </row>
    <row r="49" spans="1:13">
      <c r="A49" s="3"/>
      <c r="B49" s="4"/>
      <c r="C49" s="5"/>
      <c r="D49" s="5"/>
      <c r="E49" s="5"/>
      <c r="F49" s="3"/>
      <c r="G49" s="3"/>
      <c r="H49" s="4"/>
      <c r="I49" s="3"/>
      <c r="J49" s="5"/>
      <c r="K49" s="5"/>
      <c r="L49" s="5"/>
      <c r="M49" s="5"/>
    </row>
    <row r="50" spans="1:13">
      <c r="A50" s="3"/>
      <c r="B50" s="4"/>
      <c r="C50" s="5"/>
      <c r="D50" s="5"/>
      <c r="E50" s="5"/>
      <c r="F50" s="3"/>
      <c r="G50" s="3"/>
      <c r="H50" s="4"/>
      <c r="I50" s="3"/>
      <c r="J50" s="5"/>
      <c r="K50" s="5"/>
      <c r="L50" s="5"/>
      <c r="M50" s="5"/>
    </row>
    <row r="51" spans="1:13">
      <c r="A51" s="3"/>
      <c r="B51" s="4"/>
      <c r="C51" s="5"/>
      <c r="D51" s="5"/>
      <c r="E51" s="5"/>
      <c r="F51" s="3"/>
      <c r="G51" s="3"/>
      <c r="H51" s="4"/>
      <c r="I51" s="3"/>
      <c r="J51" s="5"/>
      <c r="K51" s="5"/>
      <c r="L51" s="5"/>
      <c r="M51" s="5"/>
    </row>
    <row r="52" spans="1:13">
      <c r="A52" s="3"/>
      <c r="B52" s="4"/>
      <c r="C52" s="5"/>
      <c r="D52" s="5"/>
      <c r="E52" s="5"/>
      <c r="F52" s="3"/>
      <c r="G52" s="3"/>
      <c r="H52" s="4"/>
      <c r="I52" s="3"/>
      <c r="J52" s="5"/>
      <c r="K52" s="5"/>
      <c r="L52" s="5"/>
      <c r="M52" s="5"/>
    </row>
    <row r="53" spans="1:13">
      <c r="A53" s="3"/>
      <c r="B53" s="4"/>
      <c r="C53" s="5"/>
      <c r="D53" s="5"/>
      <c r="E53" s="5"/>
      <c r="F53" s="3"/>
      <c r="G53" s="3"/>
      <c r="H53" s="4"/>
      <c r="I53" s="3"/>
      <c r="J53" s="5"/>
      <c r="K53" s="5"/>
      <c r="L53" s="5"/>
      <c r="M53" s="5"/>
    </row>
    <row r="54" spans="1:13">
      <c r="A54" s="3"/>
      <c r="B54" s="4"/>
      <c r="C54" s="5"/>
      <c r="D54" s="5"/>
      <c r="E54" s="5"/>
      <c r="F54" s="3"/>
      <c r="G54" s="3"/>
      <c r="H54" s="4"/>
      <c r="I54" s="3"/>
      <c r="J54" s="5"/>
      <c r="K54" s="5"/>
      <c r="L54" s="5"/>
      <c r="M54" s="5"/>
    </row>
    <row r="55" spans="1:13">
      <c r="A55" s="3"/>
      <c r="B55" s="4"/>
      <c r="C55" s="5"/>
      <c r="D55" s="5"/>
      <c r="E55" s="5"/>
      <c r="F55" s="3"/>
      <c r="G55" s="3"/>
      <c r="H55" s="4"/>
      <c r="I55" s="3"/>
      <c r="J55" s="5"/>
      <c r="K55" s="5"/>
      <c r="L55" s="5"/>
      <c r="M55" s="5"/>
    </row>
    <row r="56" spans="1:13">
      <c r="A56" s="3"/>
      <c r="B56" s="4"/>
      <c r="C56" s="5"/>
      <c r="D56" s="5"/>
      <c r="E56" s="5"/>
      <c r="F56" s="3"/>
      <c r="G56" s="3"/>
      <c r="H56" s="4"/>
      <c r="I56" s="3"/>
      <c r="J56" s="5"/>
      <c r="K56" s="5"/>
      <c r="L56" s="5"/>
      <c r="M56" s="5"/>
    </row>
    <row r="57" spans="1:13">
      <c r="A57" s="3"/>
      <c r="B57" s="4"/>
      <c r="C57" s="5"/>
      <c r="D57" s="5"/>
      <c r="E57" s="5"/>
      <c r="F57" s="3"/>
      <c r="G57" s="3"/>
      <c r="H57" s="4"/>
      <c r="I57" s="3"/>
      <c r="J57" s="5"/>
      <c r="K57" s="5"/>
      <c r="L57" s="5"/>
      <c r="M57" s="5"/>
    </row>
    <row r="58" spans="1:13">
      <c r="A58" s="3"/>
      <c r="B58" s="4"/>
      <c r="C58" s="5"/>
      <c r="D58" s="5"/>
      <c r="E58" s="5"/>
      <c r="F58" s="3"/>
      <c r="G58" s="3"/>
      <c r="H58" s="4"/>
      <c r="I58" s="3"/>
      <c r="J58" s="5"/>
      <c r="K58" s="5"/>
      <c r="L58" s="5"/>
      <c r="M58" s="5"/>
    </row>
    <row r="59" spans="1:13">
      <c r="A59" s="3"/>
      <c r="B59" s="4"/>
      <c r="C59" s="5"/>
      <c r="D59" s="5"/>
      <c r="E59" s="5"/>
      <c r="F59" s="3"/>
      <c r="G59" s="3"/>
      <c r="H59" s="4"/>
      <c r="I59" s="3"/>
      <c r="J59" s="5"/>
      <c r="K59" s="5"/>
      <c r="L59" s="5"/>
      <c r="M59" s="5"/>
    </row>
    <row r="60" spans="1:13">
      <c r="A60" s="3"/>
      <c r="B60" s="4"/>
      <c r="C60" s="5"/>
      <c r="D60" s="5"/>
      <c r="E60" s="5"/>
      <c r="F60" s="3"/>
      <c r="G60" s="3"/>
      <c r="H60" s="4"/>
      <c r="I60" s="3"/>
      <c r="J60" s="5"/>
      <c r="K60" s="5"/>
      <c r="L60" s="5"/>
      <c r="M60" s="5"/>
    </row>
    <row r="61" spans="1:13">
      <c r="A61" s="3"/>
      <c r="B61" s="4"/>
      <c r="C61" s="5"/>
      <c r="D61" s="5"/>
      <c r="E61" s="5"/>
      <c r="F61" s="3"/>
      <c r="G61" s="3"/>
      <c r="H61" s="4"/>
      <c r="I61" s="3"/>
      <c r="J61" s="5"/>
      <c r="K61" s="5"/>
      <c r="L61" s="5"/>
      <c r="M61" s="5"/>
    </row>
    <row r="62" spans="1:13">
      <c r="A62" s="3"/>
      <c r="B62" s="4"/>
      <c r="C62" s="5"/>
      <c r="D62" s="5"/>
      <c r="E62" s="5"/>
      <c r="F62" s="3"/>
      <c r="G62" s="3"/>
      <c r="H62" s="4"/>
      <c r="I62" s="3"/>
      <c r="J62" s="5"/>
      <c r="K62" s="5"/>
      <c r="L62" s="5"/>
      <c r="M62" s="5"/>
    </row>
    <row r="63" spans="1:13">
      <c r="A63" s="3"/>
      <c r="B63" s="4"/>
      <c r="C63" s="5"/>
      <c r="D63" s="5"/>
      <c r="E63" s="5"/>
      <c r="F63" s="3"/>
      <c r="G63" s="3"/>
      <c r="H63" s="4"/>
      <c r="I63" s="3"/>
      <c r="J63" s="5"/>
      <c r="K63" s="5"/>
      <c r="L63" s="5"/>
      <c r="M63" s="5"/>
    </row>
    <row r="64" spans="1:13">
      <c r="A64" s="3"/>
      <c r="B64" s="4"/>
      <c r="C64" s="5"/>
      <c r="D64" s="5"/>
      <c r="E64" s="5"/>
      <c r="F64" s="3"/>
      <c r="G64" s="3"/>
      <c r="H64" s="4"/>
      <c r="I64" s="3"/>
      <c r="J64" s="5"/>
      <c r="K64" s="5"/>
      <c r="L64" s="5"/>
      <c r="M64" s="5"/>
    </row>
    <row r="65" spans="1:13">
      <c r="A65" s="3"/>
      <c r="B65" s="4"/>
      <c r="C65" s="5"/>
      <c r="D65" s="5"/>
      <c r="E65" s="5"/>
      <c r="F65" s="3"/>
      <c r="G65" s="3"/>
      <c r="H65" s="4"/>
      <c r="I65" s="3"/>
      <c r="J65" s="5"/>
      <c r="K65" s="5"/>
      <c r="L65" s="5"/>
      <c r="M65" s="5"/>
    </row>
    <row r="66" spans="1:13">
      <c r="A66" s="3"/>
      <c r="B66" s="4"/>
      <c r="C66" s="5"/>
      <c r="D66" s="5"/>
      <c r="E66" s="5"/>
      <c r="F66" s="3"/>
      <c r="G66" s="3"/>
      <c r="H66" s="4"/>
      <c r="I66" s="3"/>
      <c r="J66" s="5"/>
      <c r="K66" s="5"/>
      <c r="L66" s="5"/>
      <c r="M66" s="5"/>
    </row>
    <row r="67" spans="1:13">
      <c r="A67" s="3"/>
      <c r="B67" s="4"/>
      <c r="C67" s="5"/>
      <c r="D67" s="5"/>
      <c r="E67" s="5"/>
      <c r="F67" s="3"/>
      <c r="G67" s="3"/>
      <c r="H67" s="4"/>
      <c r="I67" s="3"/>
      <c r="J67" s="5"/>
      <c r="K67" s="5"/>
      <c r="L67" s="5"/>
      <c r="M67" s="5"/>
    </row>
    <row r="68" spans="1:13">
      <c r="A68" s="3"/>
      <c r="B68" s="4"/>
      <c r="C68" s="5"/>
      <c r="D68" s="5"/>
      <c r="E68" s="5"/>
      <c r="F68" s="3"/>
      <c r="G68" s="3"/>
      <c r="H68" s="4"/>
      <c r="I68" s="3"/>
      <c r="J68" s="5"/>
      <c r="K68" s="5"/>
      <c r="L68" s="5"/>
      <c r="M68" s="5"/>
    </row>
    <row r="69" spans="1:13">
      <c r="A69" s="3"/>
      <c r="B69" s="4"/>
      <c r="C69" s="5"/>
      <c r="D69" s="5"/>
      <c r="E69" s="5"/>
      <c r="F69" s="3"/>
      <c r="G69" s="3"/>
      <c r="H69" s="4"/>
      <c r="I69" s="3"/>
      <c r="J69" s="5"/>
      <c r="K69" s="5"/>
      <c r="L69" s="5"/>
      <c r="M69" s="5"/>
    </row>
    <row r="70" spans="1:13">
      <c r="A70" s="3"/>
      <c r="B70" s="4"/>
      <c r="C70" s="5"/>
      <c r="D70" s="5"/>
      <c r="E70" s="5"/>
      <c r="F70" s="3"/>
      <c r="G70" s="3"/>
      <c r="H70" s="4"/>
      <c r="I70" s="3"/>
      <c r="J70" s="5"/>
      <c r="K70" s="5"/>
      <c r="L70" s="5"/>
      <c r="M70" s="5"/>
    </row>
    <row r="71" spans="1:13">
      <c r="A71" s="3"/>
      <c r="B71" s="4"/>
      <c r="C71" s="5"/>
      <c r="D71" s="5"/>
      <c r="E71" s="5"/>
      <c r="F71" s="3"/>
      <c r="G71" s="3"/>
      <c r="H71" s="4"/>
      <c r="I71" s="3"/>
      <c r="J71" s="5"/>
      <c r="K71" s="5"/>
      <c r="L71" s="5"/>
      <c r="M71" s="5"/>
    </row>
    <row r="72" spans="1:13">
      <c r="A72" s="3"/>
      <c r="B72" s="4"/>
      <c r="C72" s="5"/>
      <c r="D72" s="5"/>
      <c r="E72" s="5"/>
      <c r="F72" s="3"/>
      <c r="G72" s="3"/>
      <c r="H72" s="4"/>
      <c r="I72" s="3"/>
      <c r="J72" s="5"/>
      <c r="K72" s="5"/>
      <c r="L72" s="5"/>
      <c r="M72" s="5"/>
    </row>
    <row r="73" spans="1:13">
      <c r="A73" s="3"/>
      <c r="B73" s="4"/>
      <c r="C73" s="5"/>
      <c r="D73" s="5"/>
      <c r="E73" s="5"/>
      <c r="F73" s="3"/>
      <c r="G73" s="3"/>
      <c r="H73" s="4"/>
      <c r="I73" s="3"/>
      <c r="J73" s="5"/>
      <c r="K73" s="5"/>
      <c r="L73" s="5"/>
      <c r="M73" s="5"/>
    </row>
    <row r="74" spans="1:13">
      <c r="A74" s="3"/>
      <c r="B74" s="4"/>
      <c r="C74" s="5"/>
      <c r="D74" s="5"/>
      <c r="E74" s="5"/>
      <c r="F74" s="3"/>
      <c r="G74" s="3"/>
      <c r="H74" s="4"/>
      <c r="I74" s="3"/>
      <c r="J74" s="5"/>
      <c r="K74" s="5"/>
      <c r="L74" s="5"/>
      <c r="M74" s="5"/>
    </row>
    <row r="75" spans="1:13">
      <c r="A75" s="3"/>
      <c r="B75" s="4"/>
      <c r="C75" s="5"/>
      <c r="D75" s="5"/>
      <c r="E75" s="5"/>
      <c r="F75" s="3"/>
      <c r="G75" s="3"/>
      <c r="H75" s="4"/>
      <c r="I75" s="3"/>
      <c r="J75" s="5"/>
      <c r="K75" s="5"/>
      <c r="L75" s="5"/>
      <c r="M75" s="5"/>
    </row>
    <row r="76" spans="1:13">
      <c r="A76" s="3"/>
      <c r="B76" s="4"/>
      <c r="C76" s="5"/>
      <c r="D76" s="5"/>
      <c r="E76" s="5"/>
      <c r="F76" s="3"/>
      <c r="G76" s="3"/>
      <c r="H76" s="4"/>
      <c r="I76" s="3"/>
      <c r="J76" s="5"/>
      <c r="K76" s="5"/>
      <c r="L76" s="5"/>
      <c r="M76" s="5"/>
    </row>
    <row r="77" spans="1:13">
      <c r="A77" s="3"/>
      <c r="B77" s="4"/>
      <c r="C77" s="5"/>
      <c r="D77" s="5"/>
      <c r="E77" s="5"/>
      <c r="F77" s="3"/>
      <c r="G77" s="3"/>
      <c r="H77" s="4"/>
      <c r="I77" s="3"/>
      <c r="J77" s="5"/>
      <c r="K77" s="5"/>
      <c r="L77" s="5"/>
      <c r="M77" s="5"/>
    </row>
    <row r="78" spans="1:13">
      <c r="A78" s="3"/>
      <c r="B78" s="4"/>
      <c r="C78" s="5"/>
      <c r="D78" s="5"/>
      <c r="E78" s="5"/>
      <c r="F78" s="3"/>
      <c r="G78" s="3"/>
      <c r="H78" s="4"/>
      <c r="I78" s="3"/>
      <c r="J78" s="5"/>
      <c r="K78" s="5"/>
      <c r="L78" s="5"/>
      <c r="M78" s="5"/>
    </row>
    <row r="79" spans="1:13">
      <c r="A79" s="3"/>
      <c r="B79" s="4"/>
      <c r="C79" s="5"/>
      <c r="D79" s="5"/>
      <c r="E79" s="5"/>
      <c r="F79" s="3"/>
      <c r="G79" s="3"/>
      <c r="H79" s="4"/>
      <c r="I79" s="3"/>
      <c r="J79" s="5"/>
      <c r="K79" s="5"/>
      <c r="L79" s="5"/>
      <c r="M79" s="5"/>
    </row>
    <row r="80" spans="1:13">
      <c r="A80" s="3"/>
      <c r="B80" s="4"/>
      <c r="C80" s="5"/>
      <c r="D80" s="5"/>
      <c r="E80" s="5"/>
      <c r="F80" s="3"/>
      <c r="G80" s="3"/>
      <c r="H80" s="4"/>
      <c r="I80" s="3"/>
      <c r="J80" s="5"/>
      <c r="K80" s="5"/>
      <c r="L80" s="5"/>
      <c r="M80" s="5"/>
    </row>
    <row r="81" spans="1:13">
      <c r="A81" s="3"/>
      <c r="B81" s="4"/>
      <c r="C81" s="5"/>
      <c r="D81" s="5"/>
      <c r="E81" s="5"/>
      <c r="F81" s="3"/>
      <c r="G81" s="3"/>
      <c r="H81" s="4"/>
      <c r="I81" s="3"/>
      <c r="J81" s="5"/>
      <c r="K81" s="5"/>
      <c r="L81" s="5"/>
      <c r="M81" s="5"/>
    </row>
    <row r="82" spans="1:13">
      <c r="A82" s="3"/>
      <c r="B82" s="4"/>
      <c r="C82" s="5"/>
      <c r="D82" s="5"/>
      <c r="E82" s="5"/>
      <c r="F82" s="3"/>
      <c r="G82" s="3"/>
      <c r="H82" s="4"/>
      <c r="I82" s="3"/>
      <c r="J82" s="5"/>
      <c r="K82" s="5"/>
      <c r="L82" s="5"/>
      <c r="M82" s="5"/>
    </row>
    <row r="83" spans="1:13">
      <c r="A83" s="3"/>
      <c r="B83" s="4"/>
      <c r="C83" s="5"/>
      <c r="D83" s="5"/>
      <c r="E83" s="5"/>
      <c r="F83" s="3"/>
      <c r="G83" s="3"/>
      <c r="H83" s="4"/>
      <c r="I83" s="3"/>
      <c r="J83" s="5"/>
      <c r="K83" s="5"/>
      <c r="L83" s="5"/>
      <c r="M83" s="5"/>
    </row>
    <row r="84" spans="1:13">
      <c r="A84" s="3"/>
      <c r="B84" s="4"/>
      <c r="C84" s="5"/>
      <c r="D84" s="5"/>
      <c r="E84" s="5"/>
      <c r="F84" s="3"/>
      <c r="G84" s="3"/>
      <c r="H84" s="4"/>
      <c r="I84" s="3"/>
      <c r="J84" s="5"/>
      <c r="K84" s="5"/>
      <c r="L84" s="5"/>
      <c r="M84" s="5"/>
    </row>
    <row r="85" spans="1:13">
      <c r="A85" s="3"/>
      <c r="B85" s="4"/>
      <c r="C85" s="5"/>
      <c r="D85" s="5"/>
      <c r="E85" s="5"/>
      <c r="F85" s="3"/>
      <c r="G85" s="3"/>
      <c r="H85" s="4"/>
      <c r="I85" s="3"/>
      <c r="J85" s="5"/>
      <c r="K85" s="5"/>
      <c r="L85" s="5"/>
      <c r="M85" s="5"/>
    </row>
    <row r="86" spans="1:13">
      <c r="A86" s="3"/>
      <c r="B86" s="4"/>
      <c r="C86" s="5"/>
      <c r="D86" s="5"/>
      <c r="E86" s="5"/>
      <c r="F86" s="3"/>
      <c r="G86" s="3"/>
      <c r="H86" s="4"/>
      <c r="I86" s="3"/>
      <c r="J86" s="5"/>
      <c r="K86" s="5"/>
      <c r="L86" s="5"/>
      <c r="M86" s="5"/>
    </row>
    <row r="87" spans="1:13">
      <c r="A87" s="3"/>
      <c r="B87" s="4"/>
      <c r="C87" s="5"/>
      <c r="D87" s="5"/>
      <c r="E87" s="5"/>
      <c r="F87" s="3"/>
      <c r="G87" s="3"/>
      <c r="H87" s="4"/>
      <c r="I87" s="3"/>
      <c r="J87" s="5"/>
      <c r="K87" s="5"/>
      <c r="L87" s="5"/>
      <c r="M87" s="5"/>
    </row>
    <row r="88" spans="1:13">
      <c r="A88" s="3"/>
      <c r="B88" s="4"/>
      <c r="C88" s="5"/>
      <c r="D88" s="5"/>
      <c r="E88" s="5"/>
      <c r="F88" s="3"/>
      <c r="G88" s="3"/>
      <c r="H88" s="4"/>
      <c r="I88" s="3"/>
      <c r="J88" s="5"/>
      <c r="K88" s="5"/>
      <c r="L88" s="5"/>
      <c r="M88" s="5"/>
    </row>
    <row r="89" spans="1:13">
      <c r="A89" s="3"/>
      <c r="B89" s="4"/>
      <c r="C89" s="5"/>
      <c r="D89" s="5"/>
      <c r="E89" s="5"/>
      <c r="F89" s="3"/>
      <c r="G89" s="3"/>
      <c r="H89" s="4"/>
      <c r="I89" s="3"/>
      <c r="J89" s="5"/>
      <c r="K89" s="5"/>
      <c r="L89" s="5"/>
      <c r="M89" s="5"/>
    </row>
    <row r="90" spans="1:13">
      <c r="A90" s="3"/>
      <c r="B90" s="4"/>
      <c r="C90" s="5"/>
      <c r="D90" s="5"/>
      <c r="E90" s="5"/>
      <c r="F90" s="3"/>
      <c r="G90" s="3"/>
      <c r="H90" s="4"/>
      <c r="I90" s="3"/>
      <c r="J90" s="5"/>
      <c r="K90" s="5"/>
      <c r="L90" s="5"/>
      <c r="M90" s="5"/>
    </row>
    <row r="91" spans="1:13">
      <c r="A91" s="3"/>
      <c r="B91" s="4"/>
      <c r="C91" s="5"/>
      <c r="D91" s="5"/>
      <c r="E91" s="5"/>
      <c r="F91" s="3"/>
      <c r="G91" s="3"/>
      <c r="H91" s="4"/>
      <c r="I91" s="3"/>
      <c r="J91" s="5"/>
      <c r="K91" s="5"/>
      <c r="L91" s="5"/>
      <c r="M91" s="5"/>
    </row>
    <row r="92" spans="1:13">
      <c r="A92" s="3"/>
      <c r="B92" s="4"/>
      <c r="C92" s="5"/>
      <c r="D92" s="5"/>
      <c r="E92" s="5"/>
      <c r="F92" s="3"/>
      <c r="G92" s="3"/>
      <c r="H92" s="4"/>
      <c r="I92" s="3"/>
      <c r="J92" s="5"/>
      <c r="K92" s="5"/>
      <c r="L92" s="5"/>
      <c r="M92" s="5"/>
    </row>
    <row r="93" spans="1:13">
      <c r="A93" s="3"/>
      <c r="B93" s="4"/>
      <c r="C93" s="5"/>
      <c r="D93" s="5"/>
      <c r="E93" s="5"/>
      <c r="F93" s="3"/>
      <c r="G93" s="3"/>
      <c r="H93" s="4"/>
      <c r="I93" s="3"/>
      <c r="J93" s="5"/>
      <c r="K93" s="5"/>
      <c r="L93" s="5"/>
      <c r="M93" s="5"/>
    </row>
    <row r="94" spans="1:13">
      <c r="A94" s="3"/>
      <c r="B94" s="4"/>
      <c r="C94" s="5"/>
      <c r="D94" s="5"/>
      <c r="E94" s="5"/>
      <c r="F94" s="3"/>
      <c r="G94" s="3"/>
      <c r="H94" s="4"/>
      <c r="I94" s="3"/>
      <c r="J94" s="5"/>
      <c r="K94" s="5"/>
      <c r="L94" s="5"/>
      <c r="M94" s="5"/>
    </row>
    <row r="95" spans="1:13">
      <c r="A95" s="3"/>
      <c r="B95" s="4"/>
      <c r="C95" s="5"/>
      <c r="D95" s="5"/>
      <c r="E95" s="5"/>
      <c r="F95" s="3"/>
      <c r="G95" s="3"/>
      <c r="H95" s="4"/>
      <c r="I95" s="3"/>
      <c r="J95" s="5"/>
      <c r="K95" s="5"/>
      <c r="L95" s="5"/>
      <c r="M95" s="5"/>
    </row>
    <row r="96" spans="1:13">
      <c r="A96" s="3"/>
      <c r="B96" s="4"/>
      <c r="C96" s="5"/>
      <c r="D96" s="5"/>
      <c r="E96" s="5"/>
      <c r="F96" s="3"/>
      <c r="G96" s="3"/>
      <c r="H96" s="4"/>
      <c r="I96" s="3"/>
      <c r="J96" s="5"/>
      <c r="K96" s="5"/>
      <c r="L96" s="5"/>
      <c r="M96" s="5"/>
    </row>
    <row r="97" spans="1:13">
      <c r="A97" s="3"/>
      <c r="B97" s="4"/>
      <c r="C97" s="5"/>
      <c r="D97" s="5"/>
      <c r="E97" s="5"/>
      <c r="F97" s="3"/>
      <c r="G97" s="3"/>
      <c r="H97" s="4"/>
      <c r="I97" s="3"/>
      <c r="J97" s="5"/>
      <c r="K97" s="5"/>
      <c r="L97" s="5"/>
      <c r="M97" s="5"/>
    </row>
    <row r="98" spans="1:13">
      <c r="A98" s="3"/>
      <c r="B98" s="4"/>
      <c r="C98" s="5"/>
      <c r="D98" s="5"/>
      <c r="E98" s="5"/>
      <c r="F98" s="3"/>
      <c r="G98" s="3"/>
      <c r="H98" s="4"/>
      <c r="I98" s="3"/>
      <c r="J98" s="5"/>
      <c r="K98" s="5"/>
      <c r="L98" s="5"/>
      <c r="M98" s="5"/>
    </row>
    <row r="99" spans="1:13">
      <c r="A99" s="3"/>
      <c r="B99" s="4"/>
      <c r="C99" s="5"/>
      <c r="D99" s="5"/>
      <c r="E99" s="5"/>
      <c r="F99" s="3"/>
      <c r="G99" s="3"/>
      <c r="H99" s="4"/>
      <c r="I99" s="3"/>
      <c r="J99" s="5"/>
      <c r="K99" s="5"/>
      <c r="L99" s="5"/>
      <c r="M99" s="5"/>
    </row>
    <row r="100" spans="1:13">
      <c r="A100" s="3"/>
      <c r="B100" s="4"/>
      <c r="C100" s="5"/>
      <c r="D100" s="5"/>
      <c r="E100" s="5"/>
      <c r="F100" s="3"/>
      <c r="G100" s="3"/>
      <c r="H100" s="4"/>
      <c r="I100" s="3"/>
      <c r="J100" s="5"/>
      <c r="K100" s="5"/>
      <c r="L100" s="5"/>
      <c r="M100" s="5"/>
    </row>
    <row r="101" spans="1:13">
      <c r="A101" s="3"/>
      <c r="B101" s="4"/>
      <c r="C101" s="5"/>
      <c r="D101" s="5"/>
      <c r="E101" s="5"/>
      <c r="F101" s="3"/>
      <c r="G101" s="3"/>
      <c r="H101" s="4"/>
      <c r="I101" s="3"/>
      <c r="J101" s="5"/>
      <c r="K101" s="5"/>
      <c r="L101" s="5"/>
      <c r="M101" s="5"/>
    </row>
    <row r="102" spans="1:13">
      <c r="A102" s="3"/>
      <c r="B102" s="4"/>
      <c r="C102" s="5"/>
      <c r="D102" s="5"/>
      <c r="E102" s="5"/>
      <c r="F102" s="3"/>
      <c r="G102" s="3"/>
      <c r="H102" s="4"/>
      <c r="I102" s="3"/>
      <c r="J102" s="5"/>
      <c r="K102" s="5"/>
      <c r="L102" s="5"/>
      <c r="M102" s="5"/>
    </row>
    <row r="103" spans="1:13">
      <c r="A103" s="3"/>
      <c r="B103" s="4"/>
      <c r="C103" s="5"/>
      <c r="D103" s="5"/>
      <c r="E103" s="5"/>
      <c r="F103" s="3"/>
      <c r="G103" s="3"/>
      <c r="H103" s="4"/>
      <c r="I103" s="3"/>
      <c r="J103" s="5"/>
      <c r="K103" s="5"/>
      <c r="L103" s="5"/>
      <c r="M103" s="5"/>
    </row>
    <row r="104" spans="1:13">
      <c r="A104" s="3"/>
      <c r="B104" s="4"/>
      <c r="C104" s="5"/>
      <c r="D104" s="5"/>
      <c r="E104" s="5"/>
      <c r="F104" s="3"/>
      <c r="G104" s="3"/>
      <c r="H104" s="4"/>
      <c r="I104" s="3"/>
      <c r="J104" s="5"/>
      <c r="K104" s="5"/>
      <c r="L104" s="5"/>
      <c r="M104" s="5"/>
    </row>
    <row r="105" spans="1:13">
      <c r="A105" s="3"/>
      <c r="B105" s="4"/>
      <c r="C105" s="5"/>
      <c r="D105" s="5"/>
      <c r="E105" s="5"/>
      <c r="F105" s="3"/>
      <c r="G105" s="3"/>
      <c r="H105" s="4"/>
      <c r="I105" s="3"/>
      <c r="J105" s="5"/>
      <c r="K105" s="5"/>
      <c r="L105" s="5"/>
      <c r="M105" s="5"/>
    </row>
    <row r="106" spans="1:13">
      <c r="A106" s="3"/>
      <c r="B106" s="4"/>
      <c r="C106" s="5"/>
      <c r="D106" s="5"/>
      <c r="E106" s="5"/>
      <c r="F106" s="3"/>
      <c r="G106" s="3"/>
      <c r="H106" s="4"/>
      <c r="I106" s="3"/>
      <c r="J106" s="5"/>
      <c r="K106" s="5"/>
      <c r="L106" s="5"/>
      <c r="M106" s="5"/>
    </row>
    <row r="107" spans="1:13">
      <c r="A107" s="3"/>
      <c r="B107" s="4"/>
      <c r="C107" s="5"/>
      <c r="D107" s="5"/>
      <c r="E107" s="5"/>
      <c r="F107" s="3"/>
      <c r="G107" s="3"/>
      <c r="H107" s="4"/>
      <c r="I107" s="3"/>
      <c r="J107" s="5"/>
      <c r="K107" s="5"/>
      <c r="L107" s="5"/>
      <c r="M107" s="5"/>
    </row>
    <row r="108" spans="1:13">
      <c r="A108" s="3"/>
      <c r="B108" s="4"/>
      <c r="C108" s="5"/>
      <c r="D108" s="5"/>
      <c r="E108" s="5"/>
      <c r="F108" s="3"/>
      <c r="G108" s="3"/>
      <c r="H108" s="4"/>
      <c r="I108" s="3"/>
      <c r="J108" s="5"/>
      <c r="K108" s="5"/>
      <c r="L108" s="5"/>
      <c r="M108" s="5"/>
    </row>
    <row r="109" spans="1:13">
      <c r="A109" s="3"/>
      <c r="B109" s="4"/>
      <c r="C109" s="5"/>
      <c r="D109" s="5"/>
      <c r="E109" s="5"/>
      <c r="F109" s="3"/>
      <c r="G109" s="3"/>
      <c r="H109" s="4"/>
      <c r="I109" s="3"/>
      <c r="J109" s="5"/>
      <c r="K109" s="5"/>
      <c r="L109" s="5"/>
      <c r="M109" s="5"/>
    </row>
    <row r="110" spans="1:13">
      <c r="A110" s="3"/>
      <c r="B110" s="4"/>
      <c r="C110" s="5"/>
      <c r="D110" s="5"/>
      <c r="E110" s="5"/>
      <c r="F110" s="3"/>
      <c r="G110" s="3"/>
      <c r="H110" s="4"/>
      <c r="I110" s="3"/>
      <c r="J110" s="5"/>
      <c r="K110" s="5"/>
      <c r="L110" s="5"/>
      <c r="M110" s="5"/>
    </row>
    <row r="111" spans="1:13">
      <c r="A111" s="3"/>
      <c r="B111" s="4"/>
      <c r="C111" s="5"/>
      <c r="D111" s="5"/>
      <c r="E111" s="5"/>
      <c r="F111" s="3"/>
      <c r="G111" s="3"/>
      <c r="H111" s="4"/>
      <c r="I111" s="3"/>
      <c r="J111" s="5"/>
      <c r="K111" s="5"/>
      <c r="L111" s="5"/>
      <c r="M111" s="5"/>
    </row>
    <row r="112" spans="1:13">
      <c r="A112" s="3"/>
      <c r="B112" s="4"/>
      <c r="C112" s="5"/>
      <c r="D112" s="5"/>
      <c r="E112" s="5"/>
      <c r="F112" s="3"/>
      <c r="G112" s="3"/>
      <c r="H112" s="4"/>
      <c r="I112" s="3"/>
      <c r="J112" s="5"/>
      <c r="K112" s="5"/>
      <c r="L112" s="5"/>
      <c r="M112" s="5"/>
    </row>
    <row r="113" spans="1:13">
      <c r="A113" s="3"/>
      <c r="B113" s="4"/>
      <c r="C113" s="5"/>
      <c r="D113" s="5"/>
      <c r="E113" s="5"/>
      <c r="F113" s="3"/>
      <c r="G113" s="3"/>
      <c r="H113" s="4"/>
      <c r="I113" s="3"/>
      <c r="J113" s="5"/>
      <c r="K113" s="5"/>
      <c r="L113" s="5"/>
      <c r="M113" s="5"/>
    </row>
    <row r="114" spans="1:13">
      <c r="A114" s="3"/>
      <c r="B114" s="4"/>
      <c r="C114" s="5"/>
      <c r="D114" s="5"/>
      <c r="E114" s="5"/>
      <c r="F114" s="3"/>
      <c r="G114" s="3"/>
      <c r="H114" s="4"/>
      <c r="I114" s="3"/>
      <c r="J114" s="5"/>
      <c r="K114" s="5"/>
      <c r="L114" s="5"/>
      <c r="M114" s="5"/>
    </row>
    <row r="115" spans="1:13">
      <c r="A115" s="3"/>
      <c r="B115" s="4"/>
      <c r="C115" s="5"/>
      <c r="D115" s="5"/>
      <c r="E115" s="5"/>
      <c r="F115" s="3"/>
      <c r="G115" s="3"/>
      <c r="H115" s="4"/>
      <c r="I115" s="3"/>
      <c r="J115" s="5"/>
      <c r="K115" s="5"/>
      <c r="L115" s="5"/>
      <c r="M115" s="5"/>
    </row>
    <row r="116" spans="1:13">
      <c r="A116" s="3"/>
      <c r="B116" s="4"/>
      <c r="C116" s="5"/>
      <c r="D116" s="5"/>
      <c r="E116" s="5"/>
      <c r="F116" s="3"/>
      <c r="G116" s="3"/>
      <c r="H116" s="4"/>
      <c r="I116" s="3"/>
      <c r="J116" s="5"/>
      <c r="K116" s="5"/>
      <c r="L116" s="5"/>
      <c r="M116" s="5"/>
    </row>
    <row r="117" spans="1:13">
      <c r="A117" s="3"/>
      <c r="B117" s="4"/>
      <c r="C117" s="5"/>
      <c r="D117" s="5"/>
      <c r="E117" s="5"/>
      <c r="F117" s="3"/>
      <c r="G117" s="3"/>
      <c r="H117" s="4"/>
      <c r="I117" s="3"/>
      <c r="J117" s="5"/>
      <c r="K117" s="5"/>
      <c r="L117" s="5"/>
      <c r="M117" s="5"/>
    </row>
    <row r="118" spans="1:13">
      <c r="A118" s="3"/>
      <c r="B118" s="4"/>
      <c r="C118" s="5"/>
      <c r="D118" s="5"/>
      <c r="E118" s="5"/>
      <c r="F118" s="3"/>
      <c r="G118" s="3"/>
      <c r="H118" s="4"/>
      <c r="I118" s="3"/>
      <c r="J118" s="5"/>
      <c r="K118" s="5"/>
      <c r="L118" s="5"/>
      <c r="M118" s="5"/>
    </row>
    <row r="119" spans="1:13">
      <c r="A119" s="3"/>
      <c r="B119" s="4"/>
      <c r="C119" s="5"/>
      <c r="D119" s="5"/>
      <c r="E119" s="5"/>
      <c r="F119" s="3"/>
      <c r="G119" s="3"/>
      <c r="H119" s="4"/>
      <c r="I119" s="3"/>
      <c r="J119" s="5"/>
      <c r="K119" s="5"/>
      <c r="L119" s="5"/>
      <c r="M119" s="5"/>
    </row>
    <row r="120" spans="1:13">
      <c r="A120" s="3"/>
      <c r="B120" s="4"/>
      <c r="C120" s="5"/>
      <c r="D120" s="5"/>
      <c r="E120" s="5"/>
      <c r="F120" s="3"/>
      <c r="G120" s="3"/>
      <c r="H120" s="4"/>
      <c r="I120" s="3"/>
      <c r="J120" s="5"/>
      <c r="K120" s="5"/>
      <c r="L120" s="5"/>
      <c r="M120" s="5"/>
    </row>
    <row r="121" spans="1:13">
      <c r="A121" s="3"/>
      <c r="B121" s="4"/>
      <c r="C121" s="5"/>
      <c r="D121" s="5"/>
      <c r="E121" s="5"/>
      <c r="F121" s="3"/>
      <c r="G121" s="3"/>
      <c r="H121" s="4"/>
      <c r="I121" s="3"/>
      <c r="J121" s="5"/>
      <c r="K121" s="5"/>
      <c r="L121" s="5"/>
      <c r="M121" s="5"/>
    </row>
    <row r="122" spans="1:13">
      <c r="A122" s="3"/>
      <c r="B122" s="4"/>
      <c r="C122" s="5"/>
      <c r="D122" s="5"/>
      <c r="E122" s="5"/>
      <c r="F122" s="3"/>
      <c r="G122" s="3"/>
      <c r="H122" s="4"/>
      <c r="I122" s="3"/>
      <c r="J122" s="5"/>
      <c r="K122" s="5"/>
      <c r="L122" s="5"/>
      <c r="M122" s="5"/>
    </row>
    <row r="123" spans="1:13">
      <c r="A123" s="3"/>
      <c r="B123" s="4"/>
      <c r="C123" s="5"/>
      <c r="D123" s="5"/>
      <c r="E123" s="5"/>
      <c r="F123" s="3"/>
      <c r="G123" s="3"/>
      <c r="H123" s="4"/>
      <c r="I123" s="3"/>
      <c r="J123" s="5"/>
      <c r="K123" s="5"/>
      <c r="L123" s="5"/>
      <c r="M123" s="5"/>
    </row>
    <row r="124" spans="1:13">
      <c r="A124" s="3"/>
      <c r="B124" s="4"/>
      <c r="C124" s="5"/>
      <c r="D124" s="5"/>
      <c r="E124" s="5"/>
      <c r="F124" s="3"/>
      <c r="G124" s="3"/>
      <c r="H124" s="4"/>
      <c r="I124" s="3"/>
      <c r="J124" s="5"/>
      <c r="K124" s="5"/>
      <c r="L124" s="5"/>
      <c r="M124" s="5"/>
    </row>
    <row r="125" spans="1:13">
      <c r="A125" s="3"/>
      <c r="B125" s="4"/>
      <c r="C125" s="5"/>
      <c r="D125" s="5"/>
      <c r="E125" s="5"/>
      <c r="F125" s="3"/>
      <c r="G125" s="3"/>
      <c r="H125" s="4"/>
      <c r="I125" s="3"/>
      <c r="J125" s="5"/>
      <c r="K125" s="5"/>
      <c r="L125" s="5"/>
      <c r="M125" s="5"/>
    </row>
    <row r="126" spans="1:13">
      <c r="A126" s="3"/>
      <c r="B126" s="4"/>
      <c r="C126" s="5"/>
      <c r="D126" s="5"/>
      <c r="E126" s="5"/>
      <c r="F126" s="3"/>
      <c r="G126" s="3"/>
      <c r="H126" s="4"/>
      <c r="I126" s="3"/>
      <c r="J126" s="5"/>
      <c r="K126" s="5"/>
      <c r="L126" s="5"/>
      <c r="M126" s="5"/>
    </row>
    <row r="127" spans="1:13">
      <c r="A127" s="3"/>
      <c r="B127" s="4"/>
      <c r="C127" s="5"/>
      <c r="D127" s="5"/>
      <c r="E127" s="5"/>
      <c r="F127" s="3"/>
      <c r="G127" s="3"/>
      <c r="H127" s="4"/>
      <c r="I127" s="3"/>
      <c r="J127" s="5"/>
      <c r="K127" s="5"/>
      <c r="L127" s="5"/>
      <c r="M127" s="5"/>
    </row>
    <row r="128" spans="1:13">
      <c r="A128" s="3"/>
      <c r="B128" s="4"/>
      <c r="C128" s="5"/>
      <c r="D128" s="5"/>
      <c r="E128" s="5"/>
      <c r="F128" s="3"/>
      <c r="G128" s="3"/>
      <c r="H128" s="4"/>
      <c r="I128" s="3"/>
      <c r="J128" s="5"/>
      <c r="K128" s="5"/>
      <c r="L128" s="5"/>
      <c r="M128" s="5"/>
    </row>
    <row r="129" spans="1:13">
      <c r="A129" s="3"/>
      <c r="B129" s="4"/>
      <c r="C129" s="5"/>
      <c r="D129" s="5"/>
      <c r="E129" s="5"/>
      <c r="F129" s="3"/>
      <c r="G129" s="3"/>
      <c r="H129" s="4"/>
      <c r="I129" s="3"/>
      <c r="J129" s="5"/>
      <c r="K129" s="5"/>
      <c r="L129" s="5"/>
      <c r="M129" s="5"/>
    </row>
    <row r="130" spans="1:13">
      <c r="A130" s="3"/>
      <c r="B130" s="4"/>
      <c r="C130" s="5"/>
      <c r="D130" s="5"/>
      <c r="E130" s="5"/>
      <c r="F130" s="3"/>
      <c r="G130" s="3"/>
      <c r="H130" s="4"/>
      <c r="I130" s="3"/>
      <c r="J130" s="5"/>
      <c r="K130" s="5"/>
      <c r="L130" s="5"/>
      <c r="M130" s="5"/>
    </row>
    <row r="131" spans="1:13">
      <c r="A131" s="3"/>
      <c r="B131" s="4"/>
      <c r="C131" s="5"/>
      <c r="D131" s="5"/>
      <c r="E131" s="5"/>
      <c r="F131" s="3"/>
      <c r="G131" s="3"/>
      <c r="H131" s="4"/>
      <c r="I131" s="3"/>
      <c r="J131" s="5"/>
      <c r="K131" s="5"/>
      <c r="L131" s="5"/>
      <c r="M131" s="5"/>
    </row>
    <row r="132" spans="1:13">
      <c r="A132" s="3"/>
      <c r="B132" s="4"/>
      <c r="C132" s="5"/>
      <c r="D132" s="5"/>
      <c r="E132" s="5"/>
      <c r="F132" s="3"/>
      <c r="G132" s="3"/>
      <c r="H132" s="4"/>
      <c r="I132" s="3"/>
      <c r="J132" s="5"/>
      <c r="K132" s="5"/>
      <c r="L132" s="5"/>
      <c r="M132" s="5"/>
    </row>
    <row r="133" spans="1:13">
      <c r="A133" s="3"/>
      <c r="B133" s="4"/>
      <c r="C133" s="5"/>
      <c r="D133" s="5"/>
      <c r="E133" s="5"/>
      <c r="F133" s="3"/>
      <c r="G133" s="3"/>
      <c r="H133" s="4"/>
      <c r="I133" s="3"/>
      <c r="J133" s="5"/>
      <c r="K133" s="5"/>
      <c r="L133" s="5"/>
      <c r="M133" s="5"/>
    </row>
    <row r="134" spans="1:13">
      <c r="A134" s="3"/>
      <c r="B134" s="4"/>
      <c r="C134" s="5"/>
      <c r="D134" s="5"/>
      <c r="E134" s="5"/>
      <c r="F134" s="3"/>
      <c r="G134" s="3"/>
      <c r="H134" s="4"/>
      <c r="I134" s="3"/>
      <c r="J134" s="5"/>
      <c r="K134" s="5"/>
      <c r="L134" s="5"/>
      <c r="M134" s="5"/>
    </row>
    <row r="135" spans="1:13">
      <c r="A135" s="3"/>
      <c r="B135" s="4"/>
      <c r="C135" s="5"/>
      <c r="D135" s="5"/>
      <c r="E135" s="5"/>
      <c r="F135" s="3"/>
      <c r="G135" s="3"/>
      <c r="H135" s="4"/>
      <c r="I135" s="3"/>
      <c r="J135" s="5"/>
      <c r="K135" s="5"/>
      <c r="L135" s="5"/>
      <c r="M135" s="5"/>
    </row>
    <row r="136" spans="1:13">
      <c r="A136" s="3"/>
      <c r="B136" s="4"/>
      <c r="C136" s="5"/>
      <c r="D136" s="5"/>
      <c r="E136" s="5"/>
      <c r="F136" s="3"/>
      <c r="G136" s="3"/>
      <c r="H136" s="4"/>
      <c r="I136" s="3"/>
      <c r="J136" s="5"/>
      <c r="K136" s="5"/>
      <c r="L136" s="5"/>
      <c r="M136" s="5"/>
    </row>
    <row r="137" spans="1:13">
      <c r="A137" s="3"/>
      <c r="B137" s="4"/>
      <c r="C137" s="5"/>
      <c r="D137" s="5"/>
      <c r="E137" s="5"/>
      <c r="F137" s="3"/>
      <c r="G137" s="3"/>
      <c r="H137" s="4"/>
      <c r="I137" s="3"/>
      <c r="J137" s="5"/>
      <c r="K137" s="5"/>
      <c r="L137" s="5"/>
      <c r="M137" s="5"/>
    </row>
    <row r="138" spans="1:13">
      <c r="A138" s="3"/>
      <c r="B138" s="4"/>
      <c r="C138" s="5"/>
      <c r="D138" s="5"/>
      <c r="E138" s="5"/>
      <c r="F138" s="3"/>
      <c r="G138" s="3"/>
      <c r="H138" s="4"/>
      <c r="I138" s="3"/>
      <c r="J138" s="5"/>
      <c r="K138" s="5"/>
      <c r="L138" s="5"/>
      <c r="M138" s="5"/>
    </row>
    <row r="139" spans="1:13">
      <c r="A139" s="3"/>
      <c r="B139" s="4"/>
      <c r="C139" s="5"/>
      <c r="D139" s="5"/>
      <c r="E139" s="5"/>
      <c r="F139" s="3"/>
      <c r="G139" s="3"/>
      <c r="H139" s="4"/>
      <c r="I139" s="3"/>
      <c r="J139" s="5"/>
      <c r="K139" s="5"/>
      <c r="L139" s="5"/>
      <c r="M139" s="5"/>
    </row>
    <row r="140" spans="1:13">
      <c r="A140" s="3"/>
      <c r="B140" s="4"/>
      <c r="C140" s="5"/>
      <c r="D140" s="5"/>
      <c r="E140" s="5"/>
      <c r="F140" s="3"/>
      <c r="G140" s="3"/>
      <c r="H140" s="4"/>
      <c r="I140" s="3"/>
      <c r="J140" s="5"/>
      <c r="K140" s="5"/>
      <c r="L140" s="5"/>
      <c r="M140" s="5"/>
    </row>
    <row r="141" spans="1:13">
      <c r="A141" s="3"/>
      <c r="B141" s="4"/>
      <c r="C141" s="5"/>
      <c r="D141" s="5"/>
      <c r="E141" s="5"/>
      <c r="F141" s="3"/>
      <c r="G141" s="3"/>
      <c r="H141" s="4"/>
      <c r="I141" s="3"/>
      <c r="J141" s="5"/>
      <c r="K141" s="5"/>
      <c r="L141" s="5"/>
      <c r="M141" s="5"/>
    </row>
    <row r="142" spans="1:13">
      <c r="A142" s="3"/>
      <c r="B142" s="4"/>
      <c r="C142" s="5"/>
      <c r="D142" s="5"/>
      <c r="E142" s="5"/>
      <c r="F142" s="3"/>
      <c r="G142" s="3"/>
      <c r="H142" s="4"/>
      <c r="I142" s="3"/>
      <c r="J142" s="5"/>
      <c r="K142" s="5"/>
      <c r="L142" s="5"/>
      <c r="M142" s="5"/>
    </row>
    <row r="143" spans="1:13">
      <c r="A143" s="3"/>
      <c r="B143" s="4"/>
      <c r="C143" s="5"/>
      <c r="D143" s="5"/>
      <c r="E143" s="5"/>
      <c r="F143" s="3"/>
      <c r="G143" s="3"/>
      <c r="H143" s="4"/>
      <c r="I143" s="3"/>
      <c r="J143" s="5"/>
      <c r="K143" s="5"/>
      <c r="L143" s="5"/>
      <c r="M143" s="5"/>
    </row>
    <row r="144" spans="1:13">
      <c r="A144" s="3"/>
      <c r="B144" s="4"/>
      <c r="C144" s="5"/>
      <c r="D144" s="5"/>
      <c r="E144" s="5"/>
      <c r="F144" s="3"/>
      <c r="G144" s="3"/>
      <c r="H144" s="4"/>
      <c r="I144" s="3"/>
      <c r="J144" s="5"/>
      <c r="K144" s="5"/>
      <c r="L144" s="5"/>
      <c r="M144" s="5"/>
    </row>
    <row r="145" spans="1:13">
      <c r="A145" s="3"/>
      <c r="B145" s="4"/>
      <c r="C145" s="5"/>
      <c r="D145" s="5"/>
      <c r="E145" s="5"/>
      <c r="F145" s="3"/>
      <c r="G145" s="3"/>
      <c r="H145" s="4"/>
      <c r="I145" s="3"/>
      <c r="J145" s="5"/>
      <c r="K145" s="5"/>
      <c r="L145" s="5"/>
      <c r="M145" s="5"/>
    </row>
    <row r="146" spans="1:13">
      <c r="A146" s="3"/>
      <c r="B146" s="4"/>
      <c r="C146" s="5"/>
      <c r="D146" s="5"/>
      <c r="E146" s="5"/>
      <c r="F146" s="3"/>
      <c r="G146" s="3"/>
      <c r="H146" s="4"/>
      <c r="I146" s="3"/>
      <c r="J146" s="5"/>
      <c r="K146" s="5"/>
      <c r="L146" s="5"/>
      <c r="M146" s="5"/>
    </row>
    <row r="147" spans="1:13">
      <c r="A147" s="3"/>
      <c r="B147" s="4"/>
      <c r="C147" s="5"/>
      <c r="D147" s="5"/>
      <c r="E147" s="5"/>
      <c r="F147" s="3"/>
      <c r="G147" s="3"/>
      <c r="H147" s="4"/>
      <c r="I147" s="3"/>
      <c r="J147" s="5"/>
      <c r="K147" s="5"/>
      <c r="L147" s="5"/>
      <c r="M147" s="5"/>
    </row>
    <row r="148" spans="1:13">
      <c r="A148" s="3"/>
      <c r="B148" s="4"/>
      <c r="C148" s="5"/>
      <c r="D148" s="5"/>
      <c r="E148" s="5"/>
      <c r="F148" s="3"/>
      <c r="G148" s="3"/>
      <c r="H148" s="4"/>
      <c r="I148" s="3"/>
      <c r="J148" s="5"/>
      <c r="K148" s="5"/>
      <c r="L148" s="5"/>
      <c r="M148" s="5"/>
    </row>
    <row r="149" spans="1:13">
      <c r="A149" s="3"/>
      <c r="B149" s="4"/>
      <c r="C149" s="5"/>
      <c r="D149" s="5"/>
      <c r="E149" s="5"/>
      <c r="F149" s="3"/>
      <c r="G149" s="3"/>
      <c r="H149" s="4"/>
      <c r="I149" s="3"/>
      <c r="J149" s="5"/>
      <c r="K149" s="5"/>
      <c r="L149" s="5"/>
      <c r="M149" s="5"/>
    </row>
    <row r="150" spans="1:13">
      <c r="A150" s="3"/>
      <c r="B150" s="4"/>
      <c r="C150" s="5"/>
      <c r="D150" s="5"/>
      <c r="E150" s="5"/>
      <c r="F150" s="3"/>
      <c r="G150" s="3"/>
      <c r="H150" s="4"/>
      <c r="I150" s="3"/>
      <c r="J150" s="5"/>
      <c r="K150" s="5"/>
      <c r="L150" s="5"/>
      <c r="M150" s="5"/>
    </row>
    <row r="151" spans="1:13">
      <c r="A151" s="3"/>
      <c r="B151" s="4"/>
      <c r="C151" s="5"/>
      <c r="D151" s="5"/>
      <c r="E151" s="5"/>
      <c r="F151" s="3"/>
      <c r="G151" s="3"/>
      <c r="H151" s="4"/>
      <c r="I151" s="3"/>
      <c r="J151" s="5"/>
      <c r="K151" s="5"/>
      <c r="L151" s="5"/>
      <c r="M151" s="5"/>
    </row>
    <row r="152" spans="1:13">
      <c r="A152" s="3"/>
      <c r="B152" s="4"/>
      <c r="C152" s="5"/>
      <c r="D152" s="5"/>
      <c r="E152" s="5"/>
      <c r="F152" s="3"/>
      <c r="G152" s="3"/>
      <c r="H152" s="4"/>
      <c r="I152" s="3"/>
      <c r="J152" s="5"/>
      <c r="K152" s="5"/>
      <c r="L152" s="5"/>
      <c r="M152" s="5"/>
    </row>
    <row r="153" spans="1:13">
      <c r="A153" s="3"/>
      <c r="B153" s="4"/>
      <c r="C153" s="5"/>
      <c r="D153" s="5"/>
      <c r="E153" s="5"/>
      <c r="F153" s="3"/>
      <c r="G153" s="3"/>
      <c r="H153" s="4"/>
      <c r="I153" s="3"/>
      <c r="J153" s="5"/>
      <c r="K153" s="5"/>
      <c r="L153" s="5"/>
      <c r="M153" s="5"/>
    </row>
    <row r="154" spans="1:13">
      <c r="A154" s="3"/>
      <c r="B154" s="4"/>
      <c r="C154" s="5"/>
      <c r="D154" s="5"/>
      <c r="E154" s="5"/>
      <c r="F154" s="3"/>
      <c r="G154" s="3"/>
      <c r="H154" s="4"/>
      <c r="I154" s="3"/>
      <c r="J154" s="5"/>
      <c r="K154" s="5"/>
      <c r="L154" s="5"/>
      <c r="M154" s="5"/>
    </row>
    <row r="155" spans="1:13">
      <c r="A155" s="3"/>
      <c r="B155" s="4"/>
      <c r="C155" s="5"/>
      <c r="D155" s="5"/>
      <c r="E155" s="5"/>
      <c r="F155" s="3"/>
      <c r="G155" s="3"/>
      <c r="H155" s="4"/>
      <c r="I155" s="3"/>
      <c r="J155" s="5"/>
      <c r="K155" s="5"/>
      <c r="L155" s="5"/>
      <c r="M155" s="5"/>
    </row>
    <row r="156" spans="1:13">
      <c r="A156" s="3"/>
      <c r="B156" s="4"/>
      <c r="C156" s="5"/>
      <c r="D156" s="5"/>
      <c r="E156" s="5"/>
      <c r="F156" s="3"/>
      <c r="G156" s="3"/>
      <c r="H156" s="4"/>
      <c r="I156" s="3"/>
      <c r="J156" s="5"/>
      <c r="K156" s="5"/>
      <c r="L156" s="5"/>
      <c r="M156" s="5"/>
    </row>
    <row r="157" spans="1:13">
      <c r="A157" s="3"/>
      <c r="B157" s="4"/>
      <c r="C157" s="5"/>
      <c r="D157" s="5"/>
      <c r="E157" s="5"/>
      <c r="F157" s="3"/>
      <c r="G157" s="3"/>
      <c r="H157" s="4"/>
      <c r="I157" s="3"/>
      <c r="J157" s="5"/>
      <c r="K157" s="5"/>
      <c r="L157" s="5"/>
      <c r="M157" s="5"/>
    </row>
    <row r="158" spans="1:13">
      <c r="A158" s="3"/>
      <c r="B158" s="4"/>
      <c r="C158" s="5"/>
      <c r="D158" s="5"/>
      <c r="E158" s="5"/>
      <c r="F158" s="3"/>
      <c r="G158" s="3"/>
      <c r="H158" s="4"/>
      <c r="I158" s="3"/>
      <c r="J158" s="5"/>
      <c r="K158" s="5"/>
      <c r="L158" s="5"/>
      <c r="M158" s="5"/>
    </row>
    <row r="159" spans="1:13">
      <c r="A159" s="3"/>
      <c r="B159" s="4"/>
      <c r="C159" s="5"/>
      <c r="D159" s="5"/>
      <c r="E159" s="5"/>
      <c r="F159" s="3"/>
      <c r="G159" s="3"/>
      <c r="H159" s="4"/>
      <c r="I159" s="3"/>
      <c r="J159" s="5"/>
      <c r="K159" s="5"/>
      <c r="L159" s="5"/>
      <c r="M159" s="5"/>
    </row>
    <row r="160" spans="1:13">
      <c r="A160" s="3"/>
      <c r="B160" s="4"/>
      <c r="C160" s="5"/>
      <c r="D160" s="5"/>
      <c r="E160" s="5"/>
      <c r="F160" s="3"/>
      <c r="G160" s="3"/>
      <c r="H160" s="4"/>
      <c r="I160" s="3"/>
      <c r="J160" s="5"/>
      <c r="K160" s="5"/>
      <c r="L160" s="5"/>
      <c r="M160" s="5"/>
    </row>
    <row r="161" spans="1:13">
      <c r="A161" s="3"/>
      <c r="B161" s="4"/>
      <c r="C161" s="5"/>
      <c r="D161" s="5"/>
      <c r="E161" s="5"/>
      <c r="F161" s="3"/>
      <c r="G161" s="3"/>
      <c r="H161" s="4"/>
      <c r="I161" s="3"/>
      <c r="J161" s="5"/>
      <c r="K161" s="5"/>
      <c r="L161" s="5"/>
      <c r="M161" s="5"/>
    </row>
    <row r="162" spans="1:13">
      <c r="A162" s="3"/>
      <c r="B162" s="4"/>
      <c r="C162" s="5"/>
      <c r="D162" s="5"/>
      <c r="E162" s="5"/>
      <c r="F162" s="3"/>
      <c r="G162" s="3"/>
      <c r="H162" s="4"/>
      <c r="I162" s="3"/>
      <c r="J162" s="5"/>
      <c r="K162" s="5"/>
      <c r="L162" s="5"/>
      <c r="M162" s="5"/>
    </row>
    <row r="163" spans="1:13">
      <c r="A163" s="3"/>
      <c r="B163" s="4"/>
      <c r="C163" s="5"/>
      <c r="D163" s="5"/>
      <c r="E163" s="5"/>
      <c r="F163" s="3"/>
      <c r="G163" s="3"/>
      <c r="H163" s="4"/>
      <c r="I163" s="3"/>
      <c r="J163" s="5"/>
      <c r="K163" s="5"/>
      <c r="L163" s="5"/>
      <c r="M163" s="5"/>
    </row>
    <row r="164" spans="1:13">
      <c r="A164" s="3"/>
      <c r="B164" s="4"/>
      <c r="C164" s="5"/>
      <c r="D164" s="5"/>
      <c r="E164" s="5"/>
      <c r="F164" s="3"/>
      <c r="G164" s="3"/>
      <c r="H164" s="4"/>
      <c r="I164" s="3"/>
      <c r="J164" s="5"/>
      <c r="K164" s="5"/>
      <c r="L164" s="5"/>
      <c r="M164" s="5"/>
    </row>
    <row r="165" spans="1:13">
      <c r="A165" s="3"/>
      <c r="B165" s="4"/>
      <c r="C165" s="5"/>
      <c r="D165" s="5"/>
      <c r="E165" s="5"/>
      <c r="F165" s="3"/>
      <c r="G165" s="3"/>
      <c r="H165" s="4"/>
      <c r="I165" s="3"/>
      <c r="J165" s="5"/>
      <c r="K165" s="5"/>
      <c r="L165" s="5"/>
      <c r="M165" s="5"/>
    </row>
    <row r="166" spans="1:13">
      <c r="A166" s="3"/>
      <c r="B166" s="4"/>
      <c r="C166" s="5"/>
      <c r="D166" s="5"/>
      <c r="E166" s="5"/>
      <c r="F166" s="3"/>
      <c r="G166" s="3"/>
      <c r="H166" s="4"/>
      <c r="I166" s="3"/>
      <c r="J166" s="5"/>
      <c r="K166" s="5"/>
      <c r="L166" s="5"/>
      <c r="M166" s="5"/>
    </row>
    <row r="167" spans="1:13">
      <c r="A167" s="3"/>
      <c r="B167" s="4"/>
      <c r="C167" s="5"/>
      <c r="D167" s="5"/>
      <c r="E167" s="5"/>
      <c r="F167" s="3"/>
      <c r="G167" s="3"/>
      <c r="H167" s="4"/>
      <c r="I167" s="3"/>
      <c r="J167" s="5"/>
      <c r="K167" s="5"/>
      <c r="L167" s="5"/>
      <c r="M167" s="5"/>
    </row>
    <row r="168" spans="1:13">
      <c r="A168" s="3"/>
      <c r="B168" s="4"/>
      <c r="C168" s="5"/>
      <c r="D168" s="5"/>
      <c r="E168" s="5"/>
      <c r="F168" s="3"/>
      <c r="G168" s="3"/>
      <c r="H168" s="4"/>
      <c r="I168" s="3"/>
      <c r="J168" s="5"/>
      <c r="K168" s="5"/>
      <c r="L168" s="5"/>
      <c r="M168" s="5"/>
    </row>
    <row r="169" spans="1:13">
      <c r="A169" s="3"/>
      <c r="B169" s="4"/>
      <c r="C169" s="5"/>
      <c r="D169" s="5"/>
      <c r="E169" s="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2"/>
  <sheetViews>
    <sheetView workbookViewId="0">
      <selection activeCell="C1" sqref="C1:C1048576"/>
    </sheetView>
  </sheetViews>
  <sheetFormatPr baseColWidth="10" defaultRowHeight="15"/>
  <cols>
    <col min="1" max="1" width="22.85546875" customWidth="1"/>
    <col min="2" max="2" width="8.5703125" customWidth="1"/>
    <col min="6" max="6" width="17.5703125" customWidth="1"/>
    <col min="7" max="7" width="11.7109375" customWidth="1"/>
    <col min="8" max="8" width="10.7109375" customWidth="1"/>
    <col min="9" max="9" width="13" bestFit="1" customWidth="1"/>
    <col min="10" max="10" width="18.42578125" customWidth="1"/>
  </cols>
  <sheetData>
    <row r="2" spans="1:10">
      <c r="A2" s="103" t="s">
        <v>199</v>
      </c>
      <c r="B2" s="104" t="s">
        <v>200</v>
      </c>
      <c r="C2" s="110" t="s">
        <v>145</v>
      </c>
      <c r="D2" s="109" t="s">
        <v>11</v>
      </c>
      <c r="E2" s="111" t="s">
        <v>13</v>
      </c>
      <c r="F2" s="112" t="s">
        <v>223</v>
      </c>
      <c r="G2" s="105" t="s">
        <v>201</v>
      </c>
      <c r="H2" s="106" t="s">
        <v>203</v>
      </c>
      <c r="I2" s="107" t="s">
        <v>202</v>
      </c>
      <c r="J2" s="108" t="s">
        <v>266</v>
      </c>
    </row>
    <row r="3" spans="1:10">
      <c r="A3" s="113" t="s">
        <v>204</v>
      </c>
      <c r="B3" s="89" t="s">
        <v>212</v>
      </c>
      <c r="C3" s="93"/>
      <c r="D3" s="92"/>
      <c r="E3" s="94">
        <v>50</v>
      </c>
      <c r="F3" s="117" t="s">
        <v>226</v>
      </c>
      <c r="G3" s="114" t="s">
        <v>213</v>
      </c>
      <c r="H3" s="115" t="s">
        <v>214</v>
      </c>
      <c r="I3" s="88" t="s">
        <v>216</v>
      </c>
      <c r="J3" s="116" t="s">
        <v>224</v>
      </c>
    </row>
    <row r="4" spans="1:10">
      <c r="A4" s="113" t="s">
        <v>205</v>
      </c>
      <c r="B4" s="89" t="s">
        <v>212</v>
      </c>
      <c r="C4" s="93"/>
      <c r="D4" s="92"/>
      <c r="E4" s="94">
        <v>150</v>
      </c>
      <c r="F4" s="117"/>
      <c r="G4" s="114" t="s">
        <v>213</v>
      </c>
      <c r="H4" s="115" t="s">
        <v>214</v>
      </c>
      <c r="I4" s="88" t="s">
        <v>217</v>
      </c>
      <c r="J4" s="116"/>
    </row>
    <row r="5" spans="1:10">
      <c r="A5" s="113" t="s">
        <v>206</v>
      </c>
      <c r="B5" s="89" t="s">
        <v>212</v>
      </c>
      <c r="C5" s="93"/>
      <c r="D5" s="92"/>
      <c r="E5" s="94">
        <v>300</v>
      </c>
      <c r="F5" s="117" t="s">
        <v>226</v>
      </c>
      <c r="G5" s="114" t="s">
        <v>213</v>
      </c>
      <c r="H5" s="115" t="s">
        <v>215</v>
      </c>
      <c r="I5" s="88" t="s">
        <v>218</v>
      </c>
      <c r="J5" s="116" t="s">
        <v>225</v>
      </c>
    </row>
    <row r="6" spans="1:10">
      <c r="A6" s="113" t="s">
        <v>207</v>
      </c>
      <c r="B6" s="89" t="s">
        <v>212</v>
      </c>
      <c r="C6" s="93"/>
      <c r="D6" s="92"/>
      <c r="E6" s="94">
        <v>550</v>
      </c>
      <c r="F6" s="117" t="s">
        <v>227</v>
      </c>
      <c r="G6" s="114" t="s">
        <v>213</v>
      </c>
      <c r="H6" s="115" t="s">
        <v>215</v>
      </c>
      <c r="I6" s="88" t="s">
        <v>219</v>
      </c>
      <c r="J6" s="116" t="s">
        <v>224</v>
      </c>
    </row>
    <row r="7" spans="1:10">
      <c r="A7" s="113" t="s">
        <v>422</v>
      </c>
      <c r="B7" s="89" t="s">
        <v>212</v>
      </c>
      <c r="C7" s="93"/>
      <c r="D7" s="92"/>
      <c r="E7" s="94">
        <v>900</v>
      </c>
      <c r="F7" s="117" t="s">
        <v>228</v>
      </c>
      <c r="G7" s="114" t="s">
        <v>213</v>
      </c>
      <c r="H7" s="115" t="s">
        <v>215</v>
      </c>
      <c r="I7" s="88" t="s">
        <v>220</v>
      </c>
      <c r="J7" s="116"/>
    </row>
    <row r="8" spans="1:10">
      <c r="A8" s="113" t="s">
        <v>208</v>
      </c>
      <c r="B8" s="89" t="s">
        <v>212</v>
      </c>
      <c r="C8" s="93"/>
      <c r="D8" s="92"/>
      <c r="E8" s="94">
        <v>3000</v>
      </c>
      <c r="F8" s="117"/>
      <c r="G8" s="114" t="s">
        <v>213</v>
      </c>
      <c r="H8" s="115" t="s">
        <v>215</v>
      </c>
      <c r="I8" s="88" t="s">
        <v>222</v>
      </c>
      <c r="J8" s="116"/>
    </row>
    <row r="9" spans="1:10">
      <c r="A9" s="113" t="s">
        <v>209</v>
      </c>
      <c r="B9" s="89" t="s">
        <v>212</v>
      </c>
      <c r="C9" s="93">
        <v>2</v>
      </c>
      <c r="D9" s="92">
        <v>1</v>
      </c>
      <c r="E9" s="94">
        <v>100</v>
      </c>
      <c r="F9" s="117"/>
      <c r="G9" s="114" t="s">
        <v>213</v>
      </c>
      <c r="H9" s="115" t="s">
        <v>213</v>
      </c>
      <c r="I9" s="88" t="s">
        <v>217</v>
      </c>
      <c r="J9" s="116"/>
    </row>
    <row r="10" spans="1:10">
      <c r="A10" s="113" t="s">
        <v>423</v>
      </c>
      <c r="B10" s="89" t="s">
        <v>212</v>
      </c>
      <c r="C10" s="93">
        <v>3</v>
      </c>
      <c r="D10" s="92">
        <v>2</v>
      </c>
      <c r="E10" s="94">
        <v>250</v>
      </c>
      <c r="F10" s="117"/>
      <c r="G10" s="114" t="s">
        <v>213</v>
      </c>
      <c r="H10" s="115" t="s">
        <v>213</v>
      </c>
      <c r="I10" s="88" t="s">
        <v>221</v>
      </c>
      <c r="J10" s="116"/>
    </row>
    <row r="11" spans="1:10">
      <c r="A11" s="113" t="s">
        <v>210</v>
      </c>
      <c r="B11" s="89" t="s">
        <v>212</v>
      </c>
      <c r="C11" s="93">
        <v>4</v>
      </c>
      <c r="D11" s="92">
        <v>3</v>
      </c>
      <c r="E11" s="94">
        <v>700</v>
      </c>
      <c r="F11" s="117"/>
      <c r="G11" s="114" t="s">
        <v>213</v>
      </c>
      <c r="H11" s="115" t="s">
        <v>213</v>
      </c>
      <c r="I11" s="88" t="s">
        <v>218</v>
      </c>
      <c r="J11" s="116"/>
    </row>
    <row r="12" spans="1:10">
      <c r="A12" s="113" t="s">
        <v>211</v>
      </c>
      <c r="B12" s="89" t="s">
        <v>212</v>
      </c>
      <c r="C12" s="93">
        <v>3</v>
      </c>
      <c r="D12" s="92">
        <v>2</v>
      </c>
      <c r="E12" s="94">
        <v>800</v>
      </c>
      <c r="F12" s="117"/>
      <c r="G12" s="114" t="s">
        <v>213</v>
      </c>
      <c r="H12" s="115" t="s">
        <v>213</v>
      </c>
      <c r="I12" s="88" t="s">
        <v>219</v>
      </c>
      <c r="J12" s="116"/>
    </row>
    <row r="13" spans="1:10">
      <c r="A13" s="113" t="s">
        <v>229</v>
      </c>
      <c r="B13" s="89" t="s">
        <v>212</v>
      </c>
      <c r="C13" s="93"/>
      <c r="D13" s="92"/>
      <c r="E13" s="94">
        <v>300</v>
      </c>
      <c r="F13" s="117"/>
      <c r="G13" s="114" t="s">
        <v>213</v>
      </c>
      <c r="H13" s="115" t="s">
        <v>214</v>
      </c>
      <c r="I13" s="88" t="s">
        <v>247</v>
      </c>
      <c r="J13" s="116" t="s">
        <v>214</v>
      </c>
    </row>
    <row r="14" spans="1:10">
      <c r="A14" s="113" t="s">
        <v>230</v>
      </c>
      <c r="B14" s="89" t="s">
        <v>239</v>
      </c>
      <c r="C14" s="93"/>
      <c r="D14" s="92"/>
      <c r="E14" s="94">
        <v>1000</v>
      </c>
      <c r="F14" s="117"/>
      <c r="G14" s="114" t="s">
        <v>213</v>
      </c>
      <c r="H14" s="115" t="s">
        <v>215</v>
      </c>
      <c r="I14" s="88" t="s">
        <v>248</v>
      </c>
      <c r="J14" s="116" t="s">
        <v>215</v>
      </c>
    </row>
    <row r="15" spans="1:10">
      <c r="A15" s="113" t="s">
        <v>231</v>
      </c>
      <c r="B15" s="89" t="s">
        <v>239</v>
      </c>
      <c r="C15" s="93">
        <v>1</v>
      </c>
      <c r="D15" s="92">
        <v>1</v>
      </c>
      <c r="E15" s="94">
        <v>1200</v>
      </c>
      <c r="F15" s="117"/>
      <c r="G15" s="114" t="s">
        <v>241</v>
      </c>
      <c r="H15" s="115" t="s">
        <v>215</v>
      </c>
      <c r="I15" s="88" t="s">
        <v>599</v>
      </c>
      <c r="J15" s="116" t="s">
        <v>215</v>
      </c>
    </row>
    <row r="16" spans="1:10">
      <c r="A16" s="113" t="s">
        <v>232</v>
      </c>
      <c r="B16" s="89" t="s">
        <v>240</v>
      </c>
      <c r="C16" s="93"/>
      <c r="D16" s="92"/>
      <c r="E16" s="94">
        <v>450</v>
      </c>
      <c r="F16" s="117"/>
      <c r="G16" s="114" t="s">
        <v>215</v>
      </c>
      <c r="H16" s="115" t="s">
        <v>245</v>
      </c>
      <c r="I16" s="88" t="s">
        <v>249</v>
      </c>
      <c r="J16" s="116" t="s">
        <v>259</v>
      </c>
    </row>
    <row r="17" spans="1:10">
      <c r="A17" s="113" t="s">
        <v>233</v>
      </c>
      <c r="B17" s="89" t="s">
        <v>240</v>
      </c>
      <c r="C17" s="93"/>
      <c r="D17" s="92"/>
      <c r="E17" s="94">
        <v>350</v>
      </c>
      <c r="F17" s="117"/>
      <c r="G17" s="114" t="s">
        <v>242</v>
      </c>
      <c r="H17" s="115" t="s">
        <v>246</v>
      </c>
      <c r="I17" s="88" t="s">
        <v>250</v>
      </c>
      <c r="J17" s="116" t="s">
        <v>258</v>
      </c>
    </row>
    <row r="18" spans="1:10">
      <c r="A18" s="113" t="s">
        <v>234</v>
      </c>
      <c r="B18" s="89" t="s">
        <v>240</v>
      </c>
      <c r="C18" s="93"/>
      <c r="D18" s="92"/>
      <c r="E18" s="94">
        <v>350</v>
      </c>
      <c r="F18" s="117"/>
      <c r="G18" s="114" t="s">
        <v>215</v>
      </c>
      <c r="H18" s="115" t="s">
        <v>256</v>
      </c>
      <c r="I18" s="88" t="s">
        <v>251</v>
      </c>
      <c r="J18" s="116" t="s">
        <v>260</v>
      </c>
    </row>
    <row r="19" spans="1:10">
      <c r="A19" s="113" t="s">
        <v>235</v>
      </c>
      <c r="B19" s="89" t="s">
        <v>240</v>
      </c>
      <c r="C19" s="93"/>
      <c r="D19" s="92"/>
      <c r="E19" s="94">
        <v>350</v>
      </c>
      <c r="F19" s="117" t="s">
        <v>270</v>
      </c>
      <c r="G19" s="114" t="s">
        <v>243</v>
      </c>
      <c r="H19" s="115" t="s">
        <v>257</v>
      </c>
      <c r="I19" s="88" t="s">
        <v>252</v>
      </c>
      <c r="J19" s="116" t="s">
        <v>261</v>
      </c>
    </row>
    <row r="20" spans="1:10">
      <c r="A20" s="113" t="s">
        <v>236</v>
      </c>
      <c r="B20" s="89" t="s">
        <v>240</v>
      </c>
      <c r="C20" s="93"/>
      <c r="D20" s="92"/>
      <c r="E20" s="94">
        <v>400</v>
      </c>
      <c r="F20" s="117" t="s">
        <v>269</v>
      </c>
      <c r="G20" s="114" t="s">
        <v>215</v>
      </c>
      <c r="H20" s="115" t="s">
        <v>256</v>
      </c>
      <c r="I20" s="88" t="s">
        <v>253</v>
      </c>
      <c r="J20" s="116" t="s">
        <v>262</v>
      </c>
    </row>
    <row r="21" spans="1:10">
      <c r="A21" s="113" t="s">
        <v>237</v>
      </c>
      <c r="B21" s="89" t="s">
        <v>240</v>
      </c>
      <c r="C21" s="93"/>
      <c r="D21" s="92"/>
      <c r="E21" s="94">
        <v>500</v>
      </c>
      <c r="F21" s="117" t="s">
        <v>268</v>
      </c>
      <c r="G21" s="114" t="s">
        <v>244</v>
      </c>
      <c r="H21" s="115" t="s">
        <v>256</v>
      </c>
      <c r="I21" s="88" t="s">
        <v>254</v>
      </c>
      <c r="J21" s="116" t="s">
        <v>263</v>
      </c>
    </row>
    <row r="22" spans="1:10">
      <c r="A22" s="118" t="s">
        <v>238</v>
      </c>
      <c r="B22" s="119" t="s">
        <v>240</v>
      </c>
      <c r="C22" s="125"/>
      <c r="D22" s="124"/>
      <c r="E22" s="126">
        <v>75</v>
      </c>
      <c r="F22" s="44" t="s">
        <v>267</v>
      </c>
      <c r="G22" s="120" t="s">
        <v>244</v>
      </c>
      <c r="H22" s="121" t="s">
        <v>264</v>
      </c>
      <c r="I22" s="122" t="s">
        <v>255</v>
      </c>
      <c r="J22" s="123"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H24" sqref="H24"/>
    </sheetView>
  </sheetViews>
  <sheetFormatPr baseColWidth="10" defaultRowHeight="15"/>
  <cols>
    <col min="1" max="1" width="27.140625" style="2" bestFit="1" customWidth="1"/>
    <col min="2" max="2" width="9.140625" style="2" bestFit="1" customWidth="1"/>
    <col min="3" max="3" width="7.85546875" style="2" customWidth="1"/>
    <col min="4" max="4" width="8" style="2" customWidth="1"/>
    <col min="5" max="5" width="6.5703125" style="2" customWidth="1"/>
    <col min="6" max="6" width="11.7109375" style="2" bestFit="1" customWidth="1"/>
    <col min="7" max="7" width="12.5703125" style="2" customWidth="1"/>
    <col min="8" max="8" width="16.28515625" style="2" customWidth="1"/>
    <col min="9" max="9" width="8.5703125" style="2" customWidth="1"/>
    <col min="12" max="16384" width="11.42578125" style="2"/>
  </cols>
  <sheetData>
    <row r="1" spans="1:9" ht="15.75" thickBot="1"/>
    <row r="2" spans="1:9" ht="15.75" thickBot="1">
      <c r="A2" s="70" t="s">
        <v>605</v>
      </c>
      <c r="B2" s="71" t="s">
        <v>12</v>
      </c>
      <c r="C2" s="76" t="s">
        <v>145</v>
      </c>
      <c r="D2" s="75" t="s">
        <v>11</v>
      </c>
      <c r="E2" s="77" t="s">
        <v>13</v>
      </c>
      <c r="F2" s="78" t="s">
        <v>563</v>
      </c>
      <c r="G2" s="74" t="s">
        <v>558</v>
      </c>
      <c r="H2" s="73" t="s">
        <v>559</v>
      </c>
      <c r="I2" s="72" t="s">
        <v>181</v>
      </c>
    </row>
    <row r="3" spans="1:9" s="6" customFormat="1">
      <c r="A3" s="79" t="s">
        <v>182</v>
      </c>
      <c r="B3" s="80" t="s">
        <v>562</v>
      </c>
      <c r="C3" s="84">
        <v>0.5</v>
      </c>
      <c r="D3" s="83">
        <v>0.5</v>
      </c>
      <c r="E3" s="85">
        <v>1500</v>
      </c>
      <c r="F3" s="86" t="s">
        <v>591</v>
      </c>
      <c r="G3" s="82">
        <v>3</v>
      </c>
      <c r="H3" s="81" t="s">
        <v>492</v>
      </c>
      <c r="I3" s="218">
        <v>25</v>
      </c>
    </row>
    <row r="4" spans="1:9">
      <c r="A4" s="87" t="s">
        <v>183</v>
      </c>
      <c r="B4" s="88" t="s">
        <v>37</v>
      </c>
      <c r="C4" s="93">
        <v>0.5</v>
      </c>
      <c r="D4" s="92">
        <v>0.5</v>
      </c>
      <c r="E4" s="94">
        <v>250</v>
      </c>
      <c r="F4" s="95" t="s">
        <v>592</v>
      </c>
      <c r="G4" s="91">
        <v>3</v>
      </c>
      <c r="H4" s="90" t="s">
        <v>492</v>
      </c>
      <c r="I4" s="219">
        <v>10</v>
      </c>
    </row>
    <row r="5" spans="1:9">
      <c r="A5" s="87" t="s">
        <v>184</v>
      </c>
      <c r="B5" s="88" t="s">
        <v>560</v>
      </c>
      <c r="C5" s="93">
        <v>0.5</v>
      </c>
      <c r="D5" s="92">
        <v>0.5</v>
      </c>
      <c r="E5" s="94">
        <v>300</v>
      </c>
      <c r="F5" s="95" t="s">
        <v>573</v>
      </c>
      <c r="G5" s="91">
        <v>3</v>
      </c>
      <c r="H5" s="90" t="s">
        <v>492</v>
      </c>
      <c r="I5" s="219">
        <v>5</v>
      </c>
    </row>
    <row r="6" spans="1:9">
      <c r="A6" s="87" t="s">
        <v>185</v>
      </c>
      <c r="B6" s="88" t="s">
        <v>188</v>
      </c>
      <c r="C6" s="93">
        <v>0.5</v>
      </c>
      <c r="D6" s="92">
        <v>0.5</v>
      </c>
      <c r="E6" s="94">
        <v>1200</v>
      </c>
      <c r="F6" s="95" t="s">
        <v>578</v>
      </c>
      <c r="G6" s="91">
        <v>3</v>
      </c>
      <c r="H6" s="90" t="s">
        <v>492</v>
      </c>
      <c r="I6" s="219">
        <v>10</v>
      </c>
    </row>
    <row r="7" spans="1:9">
      <c r="A7" s="87" t="s">
        <v>186</v>
      </c>
      <c r="B7" s="88" t="s">
        <v>561</v>
      </c>
      <c r="C7" s="93">
        <v>0.5</v>
      </c>
      <c r="D7" s="92">
        <v>0.5</v>
      </c>
      <c r="E7" s="94">
        <v>500</v>
      </c>
      <c r="F7" s="95" t="s">
        <v>593</v>
      </c>
      <c r="G7" s="91">
        <v>3</v>
      </c>
      <c r="H7" s="90" t="s">
        <v>492</v>
      </c>
      <c r="I7" s="219">
        <v>5</v>
      </c>
    </row>
    <row r="8" spans="1:9" ht="15.75" thickBot="1">
      <c r="A8" s="96" t="s">
        <v>187</v>
      </c>
      <c r="B8" s="97" t="s">
        <v>562</v>
      </c>
      <c r="C8" s="101">
        <v>0.5</v>
      </c>
      <c r="D8" s="100">
        <v>0.5</v>
      </c>
      <c r="E8" s="102">
        <v>1000</v>
      </c>
      <c r="F8" s="7" t="s">
        <v>576</v>
      </c>
      <c r="G8" s="99">
        <v>3</v>
      </c>
      <c r="H8" s="98" t="s">
        <v>492</v>
      </c>
      <c r="I8" s="220">
        <v>5</v>
      </c>
    </row>
    <row r="9" spans="1:9">
      <c r="A9" s="79" t="s">
        <v>583</v>
      </c>
      <c r="B9" s="80" t="s">
        <v>584</v>
      </c>
      <c r="C9" s="84">
        <v>1</v>
      </c>
      <c r="D9" s="83">
        <v>1</v>
      </c>
      <c r="E9" s="85">
        <v>50</v>
      </c>
      <c r="F9" s="86" t="s">
        <v>571</v>
      </c>
      <c r="G9" s="82" t="s">
        <v>582</v>
      </c>
      <c r="H9" s="81" t="s">
        <v>581</v>
      </c>
      <c r="I9" s="218">
        <v>3</v>
      </c>
    </row>
    <row r="10" spans="1:9">
      <c r="A10" s="87" t="s">
        <v>189</v>
      </c>
      <c r="B10" s="88" t="s">
        <v>580</v>
      </c>
      <c r="C10" s="93">
        <v>1</v>
      </c>
      <c r="D10" s="92">
        <v>1</v>
      </c>
      <c r="E10" s="94">
        <v>80</v>
      </c>
      <c r="F10" s="95" t="s">
        <v>573</v>
      </c>
      <c r="G10" s="91" t="s">
        <v>582</v>
      </c>
      <c r="H10" s="90" t="s">
        <v>581</v>
      </c>
      <c r="I10" s="219">
        <v>5</v>
      </c>
    </row>
    <row r="11" spans="1:9">
      <c r="A11" s="87" t="s">
        <v>585</v>
      </c>
      <c r="B11" s="88" t="s">
        <v>586</v>
      </c>
      <c r="C11" s="93">
        <v>1</v>
      </c>
      <c r="D11" s="92">
        <v>1</v>
      </c>
      <c r="E11" s="94">
        <v>200</v>
      </c>
      <c r="F11" s="95" t="s">
        <v>573</v>
      </c>
      <c r="G11" s="91" t="s">
        <v>582</v>
      </c>
      <c r="H11" s="90" t="s">
        <v>581</v>
      </c>
      <c r="I11" s="219">
        <v>5</v>
      </c>
    </row>
    <row r="12" spans="1:9">
      <c r="A12" s="87" t="s">
        <v>190</v>
      </c>
      <c r="B12" s="88" t="s">
        <v>195</v>
      </c>
      <c r="C12" s="93">
        <v>1</v>
      </c>
      <c r="D12" s="92">
        <v>1.5</v>
      </c>
      <c r="E12" s="94">
        <v>300</v>
      </c>
      <c r="F12" s="95" t="s">
        <v>573</v>
      </c>
      <c r="G12" s="91" t="s">
        <v>582</v>
      </c>
      <c r="H12" s="90" t="s">
        <v>581</v>
      </c>
      <c r="I12" s="219">
        <v>5</v>
      </c>
    </row>
    <row r="13" spans="1:9">
      <c r="A13" s="87" t="s">
        <v>191</v>
      </c>
      <c r="B13" s="88" t="s">
        <v>587</v>
      </c>
      <c r="C13" s="93">
        <v>1</v>
      </c>
      <c r="D13" s="92">
        <v>1</v>
      </c>
      <c r="E13" s="94">
        <v>150</v>
      </c>
      <c r="F13" s="95" t="s">
        <v>573</v>
      </c>
      <c r="G13" s="91" t="s">
        <v>582</v>
      </c>
      <c r="H13" s="90" t="s">
        <v>581</v>
      </c>
      <c r="I13" s="219">
        <v>10</v>
      </c>
    </row>
    <row r="14" spans="1:9">
      <c r="A14" s="87" t="s">
        <v>192</v>
      </c>
      <c r="B14" s="88" t="s">
        <v>589</v>
      </c>
      <c r="C14" s="93">
        <v>1</v>
      </c>
      <c r="D14" s="92">
        <v>1.5</v>
      </c>
      <c r="E14" s="94">
        <v>250</v>
      </c>
      <c r="F14" s="95" t="s">
        <v>573</v>
      </c>
      <c r="G14" s="91" t="s">
        <v>582</v>
      </c>
      <c r="H14" s="90" t="s">
        <v>581</v>
      </c>
      <c r="I14" s="219">
        <v>3</v>
      </c>
    </row>
    <row r="15" spans="1:9">
      <c r="A15" s="87" t="s">
        <v>590</v>
      </c>
      <c r="B15" s="88" t="s">
        <v>500</v>
      </c>
      <c r="C15" s="93">
        <v>1.5</v>
      </c>
      <c r="D15" s="92">
        <v>1.5</v>
      </c>
      <c r="E15" s="94">
        <v>500</v>
      </c>
      <c r="F15" s="95" t="s">
        <v>594</v>
      </c>
      <c r="G15" s="91" t="s">
        <v>582</v>
      </c>
      <c r="H15" s="90" t="s">
        <v>581</v>
      </c>
      <c r="I15" s="219">
        <v>3</v>
      </c>
    </row>
    <row r="16" spans="1:9">
      <c r="A16" s="87" t="s">
        <v>595</v>
      </c>
      <c r="B16" s="88" t="s">
        <v>596</v>
      </c>
      <c r="C16" s="93">
        <v>1.5</v>
      </c>
      <c r="D16" s="92">
        <v>1.5</v>
      </c>
      <c r="E16" s="94">
        <v>250</v>
      </c>
      <c r="F16" s="95" t="s">
        <v>573</v>
      </c>
      <c r="G16" s="91" t="s">
        <v>582</v>
      </c>
      <c r="H16" s="90" t="s">
        <v>581</v>
      </c>
      <c r="I16" s="219">
        <v>1</v>
      </c>
    </row>
    <row r="17" spans="1:9">
      <c r="A17" s="87" t="s">
        <v>597</v>
      </c>
      <c r="B17" s="88" t="s">
        <v>196</v>
      </c>
      <c r="C17" s="93">
        <v>3</v>
      </c>
      <c r="D17" s="92">
        <v>2</v>
      </c>
      <c r="E17" s="94">
        <v>600</v>
      </c>
      <c r="F17" s="95" t="s">
        <v>573</v>
      </c>
      <c r="G17" s="91" t="s">
        <v>582</v>
      </c>
      <c r="H17" s="90" t="s">
        <v>581</v>
      </c>
      <c r="I17" s="219">
        <v>5</v>
      </c>
    </row>
    <row r="18" spans="1:9">
      <c r="A18" s="87" t="s">
        <v>598</v>
      </c>
      <c r="B18" s="88" t="s">
        <v>198</v>
      </c>
      <c r="C18" s="93">
        <v>3</v>
      </c>
      <c r="D18" s="92">
        <v>2</v>
      </c>
      <c r="E18" s="94">
        <v>400</v>
      </c>
      <c r="F18" s="95" t="s">
        <v>573</v>
      </c>
      <c r="G18" s="91" t="s">
        <v>582</v>
      </c>
      <c r="H18" s="90" t="s">
        <v>581</v>
      </c>
      <c r="I18" s="219">
        <v>3</v>
      </c>
    </row>
    <row r="19" spans="1:9">
      <c r="A19" s="87" t="s">
        <v>193</v>
      </c>
      <c r="B19" s="88" t="s">
        <v>198</v>
      </c>
      <c r="C19" s="93">
        <v>0.5</v>
      </c>
      <c r="D19" s="92">
        <v>1.5</v>
      </c>
      <c r="E19" s="94">
        <v>1500</v>
      </c>
      <c r="F19" s="95"/>
      <c r="G19" s="91" t="s">
        <v>582</v>
      </c>
      <c r="H19" s="90" t="s">
        <v>581</v>
      </c>
      <c r="I19" s="219">
        <v>3</v>
      </c>
    </row>
    <row r="20" spans="1:9" ht="15.75" thickBot="1">
      <c r="A20" s="96" t="s">
        <v>194</v>
      </c>
      <c r="B20" s="97" t="s">
        <v>588</v>
      </c>
      <c r="C20" s="101">
        <v>1</v>
      </c>
      <c r="D20" s="100">
        <v>2</v>
      </c>
      <c r="E20" s="102">
        <v>400</v>
      </c>
      <c r="F20" s="7" t="s">
        <v>573</v>
      </c>
      <c r="G20" s="99" t="s">
        <v>582</v>
      </c>
      <c r="H20" s="98" t="s">
        <v>581</v>
      </c>
      <c r="I20" s="220">
        <v>5</v>
      </c>
    </row>
  </sheetData>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2"/>
  <sheetViews>
    <sheetView topLeftCell="A58" workbookViewId="0">
      <selection activeCell="E17" sqref="E17"/>
    </sheetView>
  </sheetViews>
  <sheetFormatPr baseColWidth="10" defaultRowHeight="15"/>
  <cols>
    <col min="1" max="1" width="31.85546875" style="8" customWidth="1"/>
    <col min="2" max="2" width="46.42578125" style="9" customWidth="1"/>
    <col min="3" max="5" width="11.42578125" style="9"/>
    <col min="7" max="7" width="11.42578125" style="8"/>
    <col min="8" max="8" width="15.28515625" style="8" bestFit="1" customWidth="1"/>
    <col min="9" max="16384" width="11.42578125" style="8"/>
  </cols>
  <sheetData>
    <row r="1" spans="1:7" ht="23.25" customHeight="1" thickBot="1"/>
    <row r="2" spans="1:7" ht="20.25" customHeight="1" thickBot="1">
      <c r="A2" s="45" t="s">
        <v>16</v>
      </c>
      <c r="B2" s="46" t="s">
        <v>774</v>
      </c>
      <c r="C2" s="48" t="s">
        <v>145</v>
      </c>
      <c r="D2" s="47" t="s">
        <v>11</v>
      </c>
      <c r="E2" s="49" t="s">
        <v>13</v>
      </c>
    </row>
    <row r="3" spans="1:7">
      <c r="A3" s="50" t="s">
        <v>271</v>
      </c>
      <c r="B3" s="51" t="s">
        <v>282</v>
      </c>
      <c r="C3" s="53">
        <v>1</v>
      </c>
      <c r="D3" s="52">
        <v>1</v>
      </c>
      <c r="E3" s="54">
        <v>5</v>
      </c>
    </row>
    <row r="4" spans="1:7">
      <c r="A4" s="55" t="s">
        <v>272</v>
      </c>
      <c r="B4" s="56" t="s">
        <v>282</v>
      </c>
      <c r="C4" s="58">
        <v>1</v>
      </c>
      <c r="D4" s="57">
        <v>1</v>
      </c>
      <c r="E4" s="59">
        <v>2</v>
      </c>
    </row>
    <row r="5" spans="1:7">
      <c r="A5" s="55" t="s">
        <v>273</v>
      </c>
      <c r="B5" s="56" t="s">
        <v>282</v>
      </c>
      <c r="C5" s="58">
        <v>0.5</v>
      </c>
      <c r="D5" s="57">
        <v>0.5</v>
      </c>
      <c r="E5" s="59">
        <v>2</v>
      </c>
    </row>
    <row r="6" spans="1:7">
      <c r="A6" s="55" t="s">
        <v>274</v>
      </c>
      <c r="B6" s="56" t="s">
        <v>282</v>
      </c>
      <c r="C6" s="58">
        <v>1</v>
      </c>
      <c r="D6" s="57">
        <v>1</v>
      </c>
      <c r="E6" s="59">
        <v>1</v>
      </c>
    </row>
    <row r="7" spans="1:7" ht="15.75">
      <c r="A7" s="55" t="s">
        <v>275</v>
      </c>
      <c r="B7" s="56" t="s">
        <v>282</v>
      </c>
      <c r="C7" s="58">
        <v>1</v>
      </c>
      <c r="D7" s="57">
        <v>0.5</v>
      </c>
      <c r="E7" s="59">
        <v>2</v>
      </c>
      <c r="G7" s="275"/>
    </row>
    <row r="8" spans="1:7">
      <c r="A8" s="55" t="s">
        <v>424</v>
      </c>
      <c r="B8" s="56" t="s">
        <v>282</v>
      </c>
      <c r="C8" s="58">
        <v>1</v>
      </c>
      <c r="D8" s="57">
        <v>1</v>
      </c>
      <c r="E8" s="59">
        <v>2</v>
      </c>
      <c r="G8" s="10"/>
    </row>
    <row r="9" spans="1:7">
      <c r="A9" s="55" t="s">
        <v>276</v>
      </c>
      <c r="B9" s="56" t="s">
        <v>282</v>
      </c>
      <c r="C9" s="58">
        <v>0.5</v>
      </c>
      <c r="D9" s="57">
        <v>0.5</v>
      </c>
      <c r="E9" s="59">
        <v>2</v>
      </c>
    </row>
    <row r="10" spans="1:7">
      <c r="A10" s="55" t="s">
        <v>277</v>
      </c>
      <c r="B10" s="56" t="s">
        <v>282</v>
      </c>
      <c r="C10" s="58">
        <v>1</v>
      </c>
      <c r="D10" s="57">
        <v>1</v>
      </c>
      <c r="E10" s="59">
        <v>25</v>
      </c>
    </row>
    <row r="11" spans="1:7">
      <c r="A11" s="55" t="s">
        <v>278</v>
      </c>
      <c r="B11" s="56" t="s">
        <v>282</v>
      </c>
      <c r="C11" s="58">
        <v>1</v>
      </c>
      <c r="D11" s="57">
        <v>0.5</v>
      </c>
      <c r="E11" s="59">
        <v>1</v>
      </c>
    </row>
    <row r="12" spans="1:7">
      <c r="A12" s="55" t="s">
        <v>279</v>
      </c>
      <c r="B12" s="56" t="s">
        <v>282</v>
      </c>
      <c r="C12" s="58">
        <v>1</v>
      </c>
      <c r="D12" s="57">
        <v>1</v>
      </c>
      <c r="E12" s="59">
        <v>5</v>
      </c>
    </row>
    <row r="13" spans="1:7">
      <c r="A13" s="55" t="s">
        <v>280</v>
      </c>
      <c r="B13" s="56" t="s">
        <v>282</v>
      </c>
      <c r="C13" s="58">
        <v>1</v>
      </c>
      <c r="D13" s="57">
        <v>1</v>
      </c>
      <c r="E13" s="59">
        <v>100</v>
      </c>
    </row>
    <row r="14" spans="1:7">
      <c r="A14" s="55" t="s">
        <v>425</v>
      </c>
      <c r="B14" s="56" t="s">
        <v>282</v>
      </c>
      <c r="C14" s="58">
        <v>3</v>
      </c>
      <c r="D14" s="57">
        <v>3</v>
      </c>
      <c r="E14" s="59">
        <v>20</v>
      </c>
    </row>
    <row r="15" spans="1:7">
      <c r="A15" s="55" t="s">
        <v>803</v>
      </c>
      <c r="B15" s="56" t="s">
        <v>282</v>
      </c>
      <c r="C15" s="58">
        <v>0.1</v>
      </c>
      <c r="D15" s="57">
        <v>0.2</v>
      </c>
      <c r="E15" s="59" t="s">
        <v>805</v>
      </c>
    </row>
    <row r="16" spans="1:7">
      <c r="A16" s="55" t="s">
        <v>804</v>
      </c>
      <c r="B16" s="56" t="s">
        <v>282</v>
      </c>
      <c r="C16" s="58">
        <v>0.5</v>
      </c>
      <c r="D16" s="57">
        <v>1</v>
      </c>
      <c r="E16" s="59" t="s">
        <v>806</v>
      </c>
    </row>
    <row r="17" spans="1:5" ht="15.75" thickBot="1">
      <c r="A17" s="11" t="s">
        <v>281</v>
      </c>
      <c r="B17" s="67" t="s">
        <v>282</v>
      </c>
      <c r="C17" s="69">
        <v>0.5</v>
      </c>
      <c r="D17" s="68">
        <v>0.5</v>
      </c>
      <c r="E17" s="14">
        <v>2</v>
      </c>
    </row>
    <row r="18" spans="1:5">
      <c r="A18" s="50" t="s">
        <v>283</v>
      </c>
      <c r="B18" s="51" t="s">
        <v>282</v>
      </c>
      <c r="C18" s="53">
        <v>2</v>
      </c>
      <c r="D18" s="52">
        <v>0.5</v>
      </c>
      <c r="E18" s="54">
        <v>50</v>
      </c>
    </row>
    <row r="19" spans="1:5" ht="18.75" customHeight="1">
      <c r="A19" s="55" t="s">
        <v>288</v>
      </c>
      <c r="B19" s="56" t="s">
        <v>282</v>
      </c>
      <c r="C19" s="58">
        <v>1</v>
      </c>
      <c r="D19" s="57">
        <v>0.5</v>
      </c>
      <c r="E19" s="59">
        <v>40</v>
      </c>
    </row>
    <row r="20" spans="1:5">
      <c r="A20" s="55" t="s">
        <v>284</v>
      </c>
      <c r="B20" s="56" t="s">
        <v>282</v>
      </c>
      <c r="C20" s="58" t="s">
        <v>298</v>
      </c>
      <c r="D20" s="57" t="s">
        <v>298</v>
      </c>
      <c r="E20" s="59">
        <v>500</v>
      </c>
    </row>
    <row r="21" spans="1:5">
      <c r="A21" s="55" t="s">
        <v>285</v>
      </c>
      <c r="B21" s="56" t="s">
        <v>282</v>
      </c>
      <c r="C21" s="58"/>
      <c r="D21" s="57"/>
      <c r="E21" s="59">
        <v>10</v>
      </c>
    </row>
    <row r="22" spans="1:5">
      <c r="A22" s="55" t="s">
        <v>286</v>
      </c>
      <c r="B22" s="56" t="s">
        <v>282</v>
      </c>
      <c r="C22" s="58">
        <v>0.5</v>
      </c>
      <c r="D22" s="57">
        <v>0.5</v>
      </c>
      <c r="E22" s="59">
        <v>25</v>
      </c>
    </row>
    <row r="23" spans="1:5">
      <c r="A23" s="55" t="s">
        <v>289</v>
      </c>
      <c r="B23" s="56" t="s">
        <v>296</v>
      </c>
      <c r="C23" s="58">
        <v>2</v>
      </c>
      <c r="D23" s="57">
        <v>2</v>
      </c>
      <c r="E23" s="59">
        <v>15</v>
      </c>
    </row>
    <row r="24" spans="1:5">
      <c r="A24" s="55" t="s">
        <v>290</v>
      </c>
      <c r="B24" s="56" t="s">
        <v>282</v>
      </c>
      <c r="C24" s="58"/>
      <c r="D24" s="57"/>
      <c r="E24" s="59">
        <v>15</v>
      </c>
    </row>
    <row r="25" spans="1:5">
      <c r="A25" s="55" t="s">
        <v>291</v>
      </c>
      <c r="B25" s="56" t="s">
        <v>282</v>
      </c>
      <c r="C25" s="58">
        <v>2</v>
      </c>
      <c r="D25" s="57">
        <v>1</v>
      </c>
      <c r="E25" s="59">
        <v>20</v>
      </c>
    </row>
    <row r="26" spans="1:5">
      <c r="A26" s="55" t="s">
        <v>292</v>
      </c>
      <c r="B26" s="56" t="s">
        <v>297</v>
      </c>
      <c r="C26" s="58" t="s">
        <v>298</v>
      </c>
      <c r="D26" s="57" t="s">
        <v>298</v>
      </c>
      <c r="E26" s="59">
        <v>1000</v>
      </c>
    </row>
    <row r="27" spans="1:5">
      <c r="A27" s="55" t="s">
        <v>294</v>
      </c>
      <c r="B27" s="56" t="s">
        <v>282</v>
      </c>
      <c r="C27" s="58">
        <v>1</v>
      </c>
      <c r="D27" s="57">
        <v>0.5</v>
      </c>
      <c r="E27" s="59">
        <v>33</v>
      </c>
    </row>
    <row r="28" spans="1:5">
      <c r="A28" s="55" t="s">
        <v>299</v>
      </c>
      <c r="B28" s="56" t="s">
        <v>282</v>
      </c>
      <c r="C28" s="58">
        <v>1</v>
      </c>
      <c r="D28" s="57">
        <v>0.5</v>
      </c>
      <c r="E28" s="59">
        <v>30</v>
      </c>
    </row>
    <row r="29" spans="1:5">
      <c r="A29" s="55" t="s">
        <v>300</v>
      </c>
      <c r="B29" s="56" t="s">
        <v>282</v>
      </c>
      <c r="C29" s="58">
        <v>1.5</v>
      </c>
      <c r="D29" s="57">
        <v>1.5</v>
      </c>
      <c r="E29" s="59">
        <v>40</v>
      </c>
    </row>
    <row r="30" spans="1:5">
      <c r="A30" s="55" t="s">
        <v>301</v>
      </c>
      <c r="B30" s="56" t="s">
        <v>374</v>
      </c>
      <c r="C30" s="58"/>
      <c r="D30" s="57"/>
      <c r="E30" s="59">
        <v>3</v>
      </c>
    </row>
    <row r="31" spans="1:5">
      <c r="A31" s="55" t="s">
        <v>302</v>
      </c>
      <c r="B31" s="56" t="s">
        <v>282</v>
      </c>
      <c r="C31" s="58"/>
      <c r="D31" s="57"/>
      <c r="E31" s="59">
        <v>10</v>
      </c>
    </row>
    <row r="32" spans="1:5">
      <c r="A32" s="55" t="s">
        <v>303</v>
      </c>
      <c r="B32" s="56" t="s">
        <v>282</v>
      </c>
      <c r="C32" s="58">
        <v>2</v>
      </c>
      <c r="D32" s="57">
        <v>1</v>
      </c>
      <c r="E32" s="59">
        <v>45</v>
      </c>
    </row>
    <row r="33" spans="1:5">
      <c r="A33" s="55" t="s">
        <v>305</v>
      </c>
      <c r="B33" s="56" t="s">
        <v>309</v>
      </c>
      <c r="C33" s="58">
        <v>3</v>
      </c>
      <c r="D33" s="57">
        <v>5</v>
      </c>
      <c r="E33" s="59">
        <v>150</v>
      </c>
    </row>
    <row r="34" spans="1:5">
      <c r="A34" s="55" t="s">
        <v>306</v>
      </c>
      <c r="B34" s="56" t="s">
        <v>310</v>
      </c>
      <c r="C34" s="58">
        <v>0.5</v>
      </c>
      <c r="D34" s="57">
        <v>0.1</v>
      </c>
      <c r="E34" s="59">
        <v>10</v>
      </c>
    </row>
    <row r="35" spans="1:5" ht="15.75" thickBot="1">
      <c r="A35" s="11" t="s">
        <v>307</v>
      </c>
      <c r="B35" s="67" t="s">
        <v>282</v>
      </c>
      <c r="C35" s="69">
        <v>1</v>
      </c>
      <c r="D35" s="68">
        <v>0.5</v>
      </c>
      <c r="E35" s="14">
        <v>30</v>
      </c>
    </row>
    <row r="36" spans="1:5">
      <c r="A36" s="50" t="s">
        <v>311</v>
      </c>
      <c r="B36" s="60" t="s">
        <v>327</v>
      </c>
      <c r="C36" s="53">
        <v>0.5</v>
      </c>
      <c r="D36" s="52">
        <v>0.5</v>
      </c>
      <c r="E36" s="54">
        <v>4000</v>
      </c>
    </row>
    <row r="37" spans="1:5">
      <c r="A37" s="55" t="s">
        <v>382</v>
      </c>
      <c r="B37" s="61" t="s">
        <v>328</v>
      </c>
      <c r="C37" s="58">
        <v>0.5</v>
      </c>
      <c r="D37" s="57">
        <v>0.5</v>
      </c>
      <c r="E37" s="59">
        <v>4000</v>
      </c>
    </row>
    <row r="38" spans="1:5">
      <c r="A38" s="55" t="s">
        <v>312</v>
      </c>
      <c r="B38" s="61" t="s">
        <v>329</v>
      </c>
      <c r="C38" s="58">
        <v>4</v>
      </c>
      <c r="D38" s="57">
        <v>5</v>
      </c>
      <c r="E38" s="59">
        <v>90</v>
      </c>
    </row>
    <row r="39" spans="1:5">
      <c r="A39" s="55" t="s">
        <v>313</v>
      </c>
      <c r="B39" s="61" t="s">
        <v>282</v>
      </c>
      <c r="C39" s="58">
        <v>1</v>
      </c>
      <c r="D39" s="57">
        <v>0.5</v>
      </c>
      <c r="E39" s="59">
        <v>600</v>
      </c>
    </row>
    <row r="40" spans="1:5">
      <c r="A40" s="55" t="s">
        <v>314</v>
      </c>
      <c r="B40" s="61" t="s">
        <v>330</v>
      </c>
      <c r="C40" s="58">
        <v>1</v>
      </c>
      <c r="D40" s="57">
        <v>0.5</v>
      </c>
      <c r="E40" s="59">
        <v>3000</v>
      </c>
    </row>
    <row r="41" spans="1:5">
      <c r="A41" s="55" t="s">
        <v>315</v>
      </c>
      <c r="B41" s="61" t="s">
        <v>331</v>
      </c>
      <c r="C41" s="58">
        <v>1</v>
      </c>
      <c r="D41" s="57">
        <v>0.5</v>
      </c>
      <c r="E41" s="59">
        <v>2500</v>
      </c>
    </row>
    <row r="42" spans="1:5" ht="17.25" customHeight="1">
      <c r="A42" s="55" t="s">
        <v>316</v>
      </c>
      <c r="B42" s="61" t="s">
        <v>332</v>
      </c>
      <c r="C42" s="58">
        <v>1</v>
      </c>
      <c r="D42" s="57">
        <v>0.5</v>
      </c>
      <c r="E42" s="59">
        <v>130</v>
      </c>
    </row>
    <row r="43" spans="1:5" ht="41.25" customHeight="1">
      <c r="A43" s="55" t="s">
        <v>317</v>
      </c>
      <c r="B43" s="61" t="s">
        <v>333</v>
      </c>
      <c r="C43" s="58"/>
      <c r="D43" s="57"/>
      <c r="E43" s="59">
        <v>150</v>
      </c>
    </row>
    <row r="44" spans="1:5" ht="18.75" customHeight="1">
      <c r="A44" s="55" t="s">
        <v>426</v>
      </c>
      <c r="B44" s="61" t="s">
        <v>334</v>
      </c>
      <c r="C44" s="58">
        <v>1</v>
      </c>
      <c r="D44" s="57">
        <v>1</v>
      </c>
      <c r="E44" s="59">
        <v>10000</v>
      </c>
    </row>
    <row r="45" spans="1:5" ht="25.5" customHeight="1">
      <c r="A45" s="55" t="s">
        <v>318</v>
      </c>
      <c r="B45" s="61" t="s">
        <v>384</v>
      </c>
      <c r="C45" s="58">
        <v>1</v>
      </c>
      <c r="D45" s="57">
        <v>0.5</v>
      </c>
      <c r="E45" s="59">
        <v>100</v>
      </c>
    </row>
    <row r="46" spans="1:5" ht="19.5" customHeight="1">
      <c r="A46" s="55" t="s">
        <v>319</v>
      </c>
      <c r="B46" s="61" t="s">
        <v>383</v>
      </c>
      <c r="C46" s="58">
        <v>1</v>
      </c>
      <c r="D46" s="57">
        <v>0.5</v>
      </c>
      <c r="E46" s="59">
        <v>250</v>
      </c>
    </row>
    <row r="47" spans="1:5">
      <c r="A47" s="55" t="s">
        <v>320</v>
      </c>
      <c r="B47" s="61" t="s">
        <v>335</v>
      </c>
      <c r="C47" s="58">
        <v>1</v>
      </c>
      <c r="D47" s="57">
        <v>0.5</v>
      </c>
      <c r="E47" s="59">
        <v>100</v>
      </c>
    </row>
    <row r="48" spans="1:5">
      <c r="A48" s="55" t="s">
        <v>321</v>
      </c>
      <c r="B48" s="61" t="s">
        <v>385</v>
      </c>
      <c r="C48" s="58">
        <v>1.5</v>
      </c>
      <c r="D48" s="57">
        <v>0.5</v>
      </c>
      <c r="E48" s="59">
        <v>150</v>
      </c>
    </row>
    <row r="49" spans="1:5">
      <c r="A49" s="55" t="s">
        <v>322</v>
      </c>
      <c r="B49" s="61" t="s">
        <v>386</v>
      </c>
      <c r="C49" s="58">
        <v>1</v>
      </c>
      <c r="D49" s="57">
        <v>0.5</v>
      </c>
      <c r="E49" s="59">
        <v>1500</v>
      </c>
    </row>
    <row r="50" spans="1:5">
      <c r="A50" s="55" t="s">
        <v>336</v>
      </c>
      <c r="B50" s="61" t="s">
        <v>387</v>
      </c>
      <c r="C50" s="58">
        <v>0.5</v>
      </c>
      <c r="D50" s="57">
        <v>0.5</v>
      </c>
      <c r="E50" s="59">
        <v>300</v>
      </c>
    </row>
    <row r="51" spans="1:5">
      <c r="A51" s="55" t="s">
        <v>323</v>
      </c>
      <c r="B51" s="61" t="s">
        <v>375</v>
      </c>
      <c r="C51" s="58">
        <v>0.5</v>
      </c>
      <c r="D51" s="57">
        <v>0.5</v>
      </c>
      <c r="E51" s="59">
        <v>300</v>
      </c>
    </row>
    <row r="52" spans="1:5">
      <c r="A52" s="55" t="s">
        <v>324</v>
      </c>
      <c r="B52" s="61" t="s">
        <v>337</v>
      </c>
      <c r="C52" s="58">
        <v>1</v>
      </c>
      <c r="D52" s="57">
        <v>1</v>
      </c>
      <c r="E52" s="59">
        <v>120</v>
      </c>
    </row>
    <row r="53" spans="1:5">
      <c r="A53" s="55" t="s">
        <v>325</v>
      </c>
      <c r="B53" s="61" t="s">
        <v>338</v>
      </c>
      <c r="C53" s="58">
        <v>10</v>
      </c>
      <c r="D53" s="57">
        <v>8</v>
      </c>
      <c r="E53" s="59">
        <v>200</v>
      </c>
    </row>
    <row r="54" spans="1:5">
      <c r="A54" s="55" t="s">
        <v>326</v>
      </c>
      <c r="B54" s="61" t="s">
        <v>339</v>
      </c>
      <c r="C54" s="58">
        <v>2</v>
      </c>
      <c r="D54" s="57">
        <v>2.5</v>
      </c>
      <c r="E54" s="59">
        <v>3000</v>
      </c>
    </row>
    <row r="55" spans="1:5">
      <c r="A55" s="62"/>
      <c r="B55" s="63" t="s">
        <v>340</v>
      </c>
      <c r="C55" s="65"/>
      <c r="D55" s="64"/>
      <c r="E55" s="66"/>
    </row>
    <row r="56" spans="1:5">
      <c r="A56" s="55" t="s">
        <v>341</v>
      </c>
      <c r="B56" s="61" t="s">
        <v>346</v>
      </c>
      <c r="C56" s="58">
        <v>1</v>
      </c>
      <c r="D56" s="57">
        <v>1</v>
      </c>
      <c r="E56" s="59">
        <v>4000</v>
      </c>
    </row>
    <row r="57" spans="1:5">
      <c r="A57" s="55" t="s">
        <v>342</v>
      </c>
      <c r="B57" s="61" t="s">
        <v>347</v>
      </c>
      <c r="C57" s="58">
        <v>4</v>
      </c>
      <c r="D57" s="57">
        <v>4</v>
      </c>
      <c r="E57" s="59">
        <v>300</v>
      </c>
    </row>
    <row r="58" spans="1:5">
      <c r="A58" s="55" t="s">
        <v>427</v>
      </c>
      <c r="B58" s="61" t="s">
        <v>348</v>
      </c>
      <c r="C58" s="58"/>
      <c r="D58" s="57"/>
      <c r="E58" s="59">
        <v>1700</v>
      </c>
    </row>
    <row r="59" spans="1:5">
      <c r="A59" s="55" t="s">
        <v>428</v>
      </c>
      <c r="B59" s="61" t="s">
        <v>349</v>
      </c>
      <c r="C59" s="58">
        <v>0.5</v>
      </c>
      <c r="D59" s="57">
        <v>0.2</v>
      </c>
      <c r="E59" s="59">
        <v>500</v>
      </c>
    </row>
    <row r="60" spans="1:5">
      <c r="A60" s="55" t="s">
        <v>343</v>
      </c>
      <c r="B60" s="61" t="s">
        <v>351</v>
      </c>
      <c r="C60" s="58">
        <v>1</v>
      </c>
      <c r="D60" s="57">
        <v>0.5</v>
      </c>
      <c r="E60" s="59">
        <v>150</v>
      </c>
    </row>
    <row r="61" spans="1:5">
      <c r="A61" s="55" t="s">
        <v>344</v>
      </c>
      <c r="B61" s="61" t="s">
        <v>350</v>
      </c>
      <c r="C61" s="58">
        <v>1</v>
      </c>
      <c r="D61" s="57">
        <v>0.5</v>
      </c>
      <c r="E61" s="59">
        <v>240</v>
      </c>
    </row>
    <row r="62" spans="1:5">
      <c r="A62" s="55" t="s">
        <v>429</v>
      </c>
      <c r="B62" s="61" t="s">
        <v>352</v>
      </c>
      <c r="C62" s="58">
        <v>0.5</v>
      </c>
      <c r="D62" s="57">
        <v>0.5</v>
      </c>
      <c r="E62" s="59">
        <v>150</v>
      </c>
    </row>
    <row r="63" spans="1:5">
      <c r="A63" s="55" t="s">
        <v>430</v>
      </c>
      <c r="B63" s="61" t="s">
        <v>353</v>
      </c>
      <c r="C63" s="58">
        <v>0.5</v>
      </c>
      <c r="D63" s="57">
        <v>0.2</v>
      </c>
      <c r="E63" s="59">
        <v>450</v>
      </c>
    </row>
    <row r="64" spans="1:5" ht="15.75" thickBot="1">
      <c r="A64" s="11" t="s">
        <v>345</v>
      </c>
      <c r="B64" s="274" t="s">
        <v>354</v>
      </c>
      <c r="C64" s="69">
        <v>0.3</v>
      </c>
      <c r="D64" s="68">
        <v>0.3</v>
      </c>
      <c r="E64" s="14">
        <v>1500</v>
      </c>
    </row>
    <row r="65" spans="1:22">
      <c r="A65" s="50" t="s">
        <v>355</v>
      </c>
      <c r="B65" s="51" t="s">
        <v>365</v>
      </c>
      <c r="C65" s="53">
        <v>1</v>
      </c>
      <c r="D65" s="52">
        <v>1</v>
      </c>
      <c r="E65" s="54">
        <v>40</v>
      </c>
    </row>
    <row r="66" spans="1:22">
      <c r="A66" s="55" t="s">
        <v>356</v>
      </c>
      <c r="B66" s="56" t="s">
        <v>366</v>
      </c>
      <c r="C66" s="58">
        <v>1</v>
      </c>
      <c r="D66" s="57">
        <v>0.5</v>
      </c>
      <c r="E66" s="59">
        <v>15</v>
      </c>
    </row>
    <row r="67" spans="1:22">
      <c r="A67" s="55" t="s">
        <v>431</v>
      </c>
      <c r="B67" s="56"/>
      <c r="C67" s="58">
        <v>0.5</v>
      </c>
      <c r="D67" s="57">
        <v>0.5</v>
      </c>
      <c r="E67" s="59">
        <v>350</v>
      </c>
    </row>
    <row r="68" spans="1:22">
      <c r="A68" s="55" t="s">
        <v>357</v>
      </c>
      <c r="B68" s="56" t="s">
        <v>388</v>
      </c>
      <c r="C68" s="58">
        <v>2</v>
      </c>
      <c r="D68" s="57">
        <v>1</v>
      </c>
      <c r="E68" s="59">
        <v>120</v>
      </c>
    </row>
    <row r="69" spans="1:22">
      <c r="A69" s="55" t="s">
        <v>358</v>
      </c>
      <c r="B69" s="56" t="s">
        <v>367</v>
      </c>
      <c r="C69" s="58">
        <v>2</v>
      </c>
      <c r="D69" s="57">
        <v>0.5</v>
      </c>
      <c r="E69" s="59">
        <v>20</v>
      </c>
    </row>
    <row r="70" spans="1:22">
      <c r="A70" s="55" t="s">
        <v>432</v>
      </c>
      <c r="B70" s="56" t="s">
        <v>389</v>
      </c>
      <c r="C70" s="58">
        <v>1</v>
      </c>
      <c r="D70" s="57">
        <v>0.5</v>
      </c>
      <c r="E70" s="59">
        <v>30</v>
      </c>
    </row>
    <row r="71" spans="1:22">
      <c r="A71" s="55" t="s">
        <v>131</v>
      </c>
      <c r="B71" s="56" t="s">
        <v>368</v>
      </c>
      <c r="C71" s="58">
        <v>1</v>
      </c>
      <c r="D71" s="57">
        <v>1</v>
      </c>
      <c r="E71" s="59">
        <v>350</v>
      </c>
    </row>
    <row r="72" spans="1:22">
      <c r="A72" s="55" t="s">
        <v>359</v>
      </c>
      <c r="B72" s="56" t="s">
        <v>369</v>
      </c>
      <c r="C72" s="58">
        <v>1</v>
      </c>
      <c r="D72" s="57">
        <v>0.5</v>
      </c>
      <c r="E72" s="59">
        <v>50</v>
      </c>
    </row>
    <row r="73" spans="1:22">
      <c r="A73" s="55" t="s">
        <v>360</v>
      </c>
      <c r="B73" s="56" t="s">
        <v>390</v>
      </c>
      <c r="C73" s="58">
        <v>1</v>
      </c>
      <c r="D73" s="57">
        <v>1</v>
      </c>
      <c r="E73" s="59">
        <v>200</v>
      </c>
      <c r="I73" s="12"/>
    </row>
    <row r="74" spans="1:22">
      <c r="A74" s="55" t="s">
        <v>361</v>
      </c>
      <c r="B74" s="56" t="s">
        <v>370</v>
      </c>
      <c r="C74" s="58">
        <v>1</v>
      </c>
      <c r="D74" s="57">
        <v>1</v>
      </c>
      <c r="E74" s="59">
        <v>750</v>
      </c>
    </row>
    <row r="75" spans="1:22">
      <c r="A75" s="55" t="s">
        <v>362</v>
      </c>
      <c r="B75" s="56" t="s">
        <v>371</v>
      </c>
      <c r="C75" s="58">
        <v>1</v>
      </c>
      <c r="D75" s="57">
        <v>1</v>
      </c>
      <c r="E75" s="59">
        <v>450</v>
      </c>
    </row>
    <row r="76" spans="1:22" s="13" customFormat="1" ht="21.75" customHeight="1">
      <c r="A76" s="55" t="s">
        <v>363</v>
      </c>
      <c r="B76" s="56" t="s">
        <v>372</v>
      </c>
      <c r="C76" s="58">
        <v>1</v>
      </c>
      <c r="D76" s="57">
        <v>1</v>
      </c>
      <c r="E76" s="59">
        <v>450</v>
      </c>
      <c r="G76" s="10"/>
      <c r="H76" s="10"/>
      <c r="I76" s="10"/>
      <c r="J76" s="10"/>
      <c r="K76" s="10"/>
      <c r="L76" s="10"/>
      <c r="M76" s="10"/>
      <c r="N76" s="10"/>
      <c r="O76" s="10"/>
      <c r="P76" s="10"/>
      <c r="Q76" s="10"/>
      <c r="R76" s="10"/>
      <c r="S76" s="10"/>
      <c r="T76" s="10"/>
      <c r="U76" s="10"/>
      <c r="V76" s="10"/>
    </row>
    <row r="77" spans="1:22" ht="15.75" thickBot="1">
      <c r="A77" s="11" t="s">
        <v>364</v>
      </c>
      <c r="B77" s="67" t="s">
        <v>373</v>
      </c>
      <c r="C77" s="69">
        <v>2</v>
      </c>
      <c r="D77" s="68">
        <v>2</v>
      </c>
      <c r="E77" s="14">
        <v>1250</v>
      </c>
    </row>
    <row r="78" spans="1:22" ht="15.75" thickBot="1">
      <c r="A78" s="50" t="s">
        <v>287</v>
      </c>
      <c r="B78" s="51" t="s">
        <v>775</v>
      </c>
      <c r="C78" s="53">
        <v>4</v>
      </c>
      <c r="D78" s="52">
        <v>0.5</v>
      </c>
      <c r="E78" s="54">
        <v>20</v>
      </c>
    </row>
    <row r="79" spans="1:22" ht="15.75" thickBot="1">
      <c r="A79" s="55" t="s">
        <v>293</v>
      </c>
      <c r="B79" s="51" t="s">
        <v>775</v>
      </c>
      <c r="C79" s="58">
        <v>1</v>
      </c>
      <c r="D79" s="57">
        <v>0.5</v>
      </c>
      <c r="E79" s="59">
        <v>15</v>
      </c>
    </row>
    <row r="80" spans="1:22" ht="15.75" thickBot="1">
      <c r="A80" s="55" t="s">
        <v>295</v>
      </c>
      <c r="B80" s="51" t="s">
        <v>775</v>
      </c>
      <c r="C80" s="58">
        <v>3</v>
      </c>
      <c r="D80" s="57">
        <v>1</v>
      </c>
      <c r="E80" s="59">
        <v>50</v>
      </c>
    </row>
    <row r="81" spans="1:5" ht="15.75" thickBot="1">
      <c r="A81" s="55" t="s">
        <v>304</v>
      </c>
      <c r="B81" s="51" t="s">
        <v>775</v>
      </c>
      <c r="C81" s="58">
        <v>5</v>
      </c>
      <c r="D81" s="57">
        <v>1</v>
      </c>
      <c r="E81" s="59">
        <v>75</v>
      </c>
    </row>
    <row r="82" spans="1:5" ht="15.75" thickBot="1">
      <c r="A82" s="11" t="s">
        <v>308</v>
      </c>
      <c r="B82" s="51" t="s">
        <v>775</v>
      </c>
      <c r="C82" s="69">
        <v>4</v>
      </c>
      <c r="D82" s="68">
        <v>0.5</v>
      </c>
      <c r="E82" s="14">
        <v>40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25</vt:i4>
      </vt:variant>
    </vt:vector>
  </HeadingPairs>
  <TitlesOfParts>
    <vt:vector size="33" baseType="lpstr">
      <vt:lpstr>Feuille</vt:lpstr>
      <vt:lpstr>Inventaire</vt:lpstr>
      <vt:lpstr>Base</vt:lpstr>
      <vt:lpstr>Armes</vt:lpstr>
      <vt:lpstr>Armures</vt:lpstr>
      <vt:lpstr>Substances Chimiques</vt:lpstr>
      <vt:lpstr>Explosifs</vt:lpstr>
      <vt:lpstr>Divers</vt:lpstr>
      <vt:lpstr>Feuille!AG</vt:lpstr>
      <vt:lpstr>Armes</vt:lpstr>
      <vt:lpstr>Armures</vt:lpstr>
      <vt:lpstr>Feuille!CA</vt:lpstr>
      <vt:lpstr>Feuille!CHA</vt:lpstr>
      <vt:lpstr>Feuille!CHARGE</vt:lpstr>
      <vt:lpstr>Contenant</vt:lpstr>
      <vt:lpstr>Feuille!CRIT</vt:lpstr>
      <vt:lpstr>Divers</vt:lpstr>
      <vt:lpstr>Feuille!DM</vt:lpstr>
      <vt:lpstr>Feuille!EN</vt:lpstr>
      <vt:lpstr>Explosifs</vt:lpstr>
      <vt:lpstr>Feuille!FM</vt:lpstr>
      <vt:lpstr>Feuille!FO</vt:lpstr>
      <vt:lpstr>Feuille!HP</vt:lpstr>
      <vt:lpstr>Feuille!HPNIV</vt:lpstr>
      <vt:lpstr>Image</vt:lpstr>
      <vt:lpstr>Feuille!INIT</vt:lpstr>
      <vt:lpstr>Feuille!INT</vt:lpstr>
      <vt:lpstr>Feuille!PA</vt:lpstr>
      <vt:lpstr>Feuille!PE</vt:lpstr>
      <vt:lpstr>PORTE</vt:lpstr>
      <vt:lpstr>Feuille!RESDEG</vt:lpstr>
      <vt:lpstr>Substances_Chimiques</vt:lpstr>
      <vt:lpstr>Feuille!Zone_d_impression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Nicolas;Eldrak1911;Neokhorn</dc:creator>
  <cp:lastModifiedBy>Eldrak1911</cp:lastModifiedBy>
  <dcterms:created xsi:type="dcterms:W3CDTF">2015-06-07T17:47:40Z</dcterms:created>
  <dcterms:modified xsi:type="dcterms:W3CDTF">2016-03-18T01:26:46Z</dcterms:modified>
</cp:coreProperties>
</file>